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" yWindow="-30" windowWidth="7380" windowHeight="5145" tabRatio="916" firstSheet="13" activeTab="17"/>
  </bookViews>
  <sheets>
    <sheet name="Factors &amp; Yield" sheetId="1" r:id="rId1"/>
    <sheet name="Descrip" sheetId="23" r:id="rId2"/>
    <sheet name="Mowing" sheetId="19" r:id="rId3"/>
    <sheet name="Irrigation" sheetId="18" r:id="rId4"/>
    <sheet name="Fertilizer" sheetId="16" r:id="rId5"/>
    <sheet name="Wildlife" sheetId="12" r:id="rId6"/>
    <sheet name="Trellis" sheetId="17" r:id="rId7"/>
    <sheet name="Training" sheetId="20" r:id="rId8"/>
    <sheet name="Herbicide" sheetId="25" r:id="rId9"/>
    <sheet name="Spray Program" sheetId="13" r:id="rId10"/>
    <sheet name="Spray Costs" sheetId="14" r:id="rId11"/>
    <sheet name="Harvest" sheetId="11" r:id="rId12"/>
    <sheet name="PrepYear" sheetId="28" r:id="rId13"/>
    <sheet name="Central Leader" sheetId="6" r:id="rId14"/>
    <sheet name="Vertical Axe" sheetId="8" r:id="rId15"/>
    <sheet name="Tall Spindle" sheetId="10" r:id="rId16"/>
    <sheet name="CL Profit" sheetId="5" r:id="rId17"/>
    <sheet name="VA Profit" sheetId="7" r:id="rId18"/>
    <sheet name="TS Profit" sheetId="9" r:id="rId19"/>
    <sheet name="Summary" sheetId="3" r:id="rId20"/>
    <sheet name="Profit" sheetId="2" r:id="rId21"/>
    <sheet name="Comparisons" sheetId="26" r:id="rId22"/>
    <sheet name="CostPrice" sheetId="4" r:id="rId23"/>
    <sheet name="SprayPrice" sheetId="24" r:id="rId24"/>
    <sheet name="Equipment" sheetId="21" r:id="rId25"/>
    <sheet name="mine" sheetId="29" r:id="rId26"/>
  </sheets>
  <externalReferences>
    <externalReference r:id="rId27"/>
  </externalReferences>
  <definedNames>
    <definedName name="BaitCost">Wildlife!$H$18</definedName>
    <definedName name="BaitTrip">#REF!</definedName>
    <definedName name="Bulldozer">'Factors &amp; Yield'!$C$7</definedName>
    <definedName name="BushelHour">Harvest!$C$5</definedName>
    <definedName name="CampDepPerYear">Harvest!$H$24</definedName>
    <definedName name="CampWorker">Harvest!$D$8</definedName>
    <definedName name="CLBait1">Wildlife!$D$6</definedName>
    <definedName name="CLBait2">Wildlife!$D$7</definedName>
    <definedName name="CLBait3">Wildlife!$D$8</definedName>
    <definedName name="CLBait4">Wildlife!$D$9</definedName>
    <definedName name="CLBait5">Wildlife!$D$10</definedName>
    <definedName name="CLBait6">Wildlife!$D$11</definedName>
    <definedName name="CLBait7">Wildlife!$D$12</definedName>
    <definedName name="CLBait8">Wildlife!$D$13</definedName>
    <definedName name="CLBaitTime1">Wildlife!$B$6</definedName>
    <definedName name="CLBaitTime2">Wildlife!$B$7</definedName>
    <definedName name="CLBaitTime3">Wildlife!$B$8</definedName>
    <definedName name="CLBaitTIme4">Wildlife!$B$9</definedName>
    <definedName name="CLBaitTime5">Wildlife!$B$10</definedName>
    <definedName name="CLBaitTime6">Wildlife!$B$11</definedName>
    <definedName name="CLBaitTime7">Wildlife!$B$12</definedName>
    <definedName name="CLBaitTIme8">Wildlife!$B$13</definedName>
    <definedName name="CLFert1">Fertilizer!$E$10</definedName>
    <definedName name="CLFert2">Fertilizer!$E$12</definedName>
    <definedName name="CLFert3">Fertilizer!$E$14</definedName>
    <definedName name="CLFert4">Fertilizer!$E$16</definedName>
    <definedName name="CLFert5">Fertilizer!$E$18</definedName>
    <definedName name="CLFert6">Fertilizer!$E$20</definedName>
    <definedName name="CLFert7">Fertilizer!$E$22</definedName>
    <definedName name="CLFert8">Fertilizer!$E$24</definedName>
    <definedName name="CLFertTime">Fertilizer!$G$46</definedName>
    <definedName name="CLFertTime1">Fertilizer!$D$34</definedName>
    <definedName name="CLFertTime2">Fertilizer!$D$35</definedName>
    <definedName name="CLFertTime3">Fertilizer!$D$36</definedName>
    <definedName name="CLFertTime4">Fertilizer!$D$37</definedName>
    <definedName name="CLFertTime5">Fertilizer!$D$38</definedName>
    <definedName name="CLFertTime6">Fertilizer!$D$39</definedName>
    <definedName name="CLFertTime7">Fertilizer!$D$40</definedName>
    <definedName name="CLFertTime8">Fertilizer!$D$41</definedName>
    <definedName name="CLHerb">Herbicide!$D$6</definedName>
    <definedName name="CLHerb1">Herbicide!$D$6</definedName>
    <definedName name="CLHerb2">Herbicide!$D$7</definedName>
    <definedName name="CLHerb3">Herbicide!$D$8</definedName>
    <definedName name="CLHerb4">Herbicide!$D$9</definedName>
    <definedName name="CLHerb5">Herbicide!$D$10</definedName>
    <definedName name="CLHerb6">Herbicide!$D$11</definedName>
    <definedName name="CLHerb7">Herbicide!$D$12</definedName>
    <definedName name="CLHerb8">Herbicide!$D$13</definedName>
    <definedName name="CLHerbTime">Herbicide!$D$15</definedName>
    <definedName name="CLIrr">Irrigation!$B$3</definedName>
    <definedName name="CLMowTime">Mowing!$G$19</definedName>
    <definedName name="CLMowTime1">Mowing!$C$7</definedName>
    <definedName name="CLMowTime2">Mowing!$C$8</definedName>
    <definedName name="CLMowTime3">Mowing!$C$9</definedName>
    <definedName name="CLMowTime4">Mowing!$C$10</definedName>
    <definedName name="CLMowTime5">Mowing!$C$11</definedName>
    <definedName name="CLMowTime6">Mowing!$C$12</definedName>
    <definedName name="CLMowTime7">Mowing!$C$13</definedName>
    <definedName name="CLMowTime8">Mowing!$C$14</definedName>
    <definedName name="CLProfit">'CL Profit'!$I$27</definedName>
    <definedName name="CLPrune1">Training!$C$25</definedName>
    <definedName name="CLPrune2">Training!$C$26</definedName>
    <definedName name="CLPrune3">Training!$C$27</definedName>
    <definedName name="CLPrune4">Training!$C$28</definedName>
    <definedName name="CLPrune5">Training!$C$29</definedName>
    <definedName name="CLPrune6">Training!$C$30</definedName>
    <definedName name="CLPrune7">Training!$C$31</definedName>
    <definedName name="CLPrune8">Training!$C$32</definedName>
    <definedName name="CLRowAcre">'Factors &amp; Yield'!$D$21</definedName>
    <definedName name="CLRowSpace">'Factors &amp; Yield'!$D$23</definedName>
    <definedName name="CLSpray">'Spray Costs'!#REF!</definedName>
    <definedName name="CLSpray1">'Spray Costs'!#REF!</definedName>
    <definedName name="CLSpray2">'Spray Costs'!#REF!</definedName>
    <definedName name="CLSpray3">'Spray Costs'!#REF!</definedName>
    <definedName name="CLSpray4">'Spray Costs'!#REF!</definedName>
    <definedName name="CLSprayMat1">'Spray Costs'!$D$6</definedName>
    <definedName name="CLSprayMat2">'Spray Costs'!$D$7</definedName>
    <definedName name="CLSprayMat3">'Spray Costs'!$D$8</definedName>
    <definedName name="CLSprayMat4">'Spray Costs'!$D$9</definedName>
    <definedName name="CLSprayMat5">'Spray Costs'!$D$10</definedName>
    <definedName name="CLSprayMat6">'Spray Costs'!$D$11</definedName>
    <definedName name="CLSprayMat7">'Spray Costs'!$D$12</definedName>
    <definedName name="CLSprayMat8">'Spray Costs'!$D$13</definedName>
    <definedName name="CLSprayTIme">'Spray Costs'!$D$19</definedName>
    <definedName name="CLSprayTime1">'Spray Costs'!$D$15</definedName>
    <definedName name="CLSprayTime2">'Spray Costs'!$D$16</definedName>
    <definedName name="CLSprayTime3">'Spray Costs'!$D$17</definedName>
    <definedName name="CLSprayTime4">'Spray Costs'!$D$18</definedName>
    <definedName name="CLSprayTime5">'Spray Costs'!#REF!</definedName>
    <definedName name="CLSprayTime6">'Spray Costs'!#REF!</definedName>
    <definedName name="CLSprayTime7">'Spray Costs'!#REF!</definedName>
    <definedName name="CLSprayTime8">'Spray Costs'!#REF!</definedName>
    <definedName name="CLTime">'Spray Costs'!$G$25</definedName>
    <definedName name="CLTotSprayCost">'Central Leader'!$G$260</definedName>
    <definedName name="CLTrain1">Training!$B$7</definedName>
    <definedName name="CLTrain2">Training!$B$8</definedName>
    <definedName name="CLTrain3">Training!$B$9</definedName>
    <definedName name="CLTrain4">Training!$B$10</definedName>
    <definedName name="CLTrain5">Training!$B$11</definedName>
    <definedName name="CLTrain6">Training!$B$12</definedName>
    <definedName name="CLTrain7">Training!$B$13</definedName>
    <definedName name="CLTrain8">Training!$B$14</definedName>
    <definedName name="CLTrainMat1">Training!$C$7</definedName>
    <definedName name="CLTrainMat2">Training!$C$8</definedName>
    <definedName name="CLTrainMat3">Training!$C$9</definedName>
    <definedName name="CLTrainMat4">Training!$C$10</definedName>
    <definedName name="CLTrainMat5">Training!$C$11</definedName>
    <definedName name="CLTrainMat6">Training!$C$12</definedName>
    <definedName name="CLTrainMat7">Training!$C$13</definedName>
    <definedName name="CLTrainMat8">Training!$C$14</definedName>
    <definedName name="CLTree">'Factors &amp; Yield'!$D$25</definedName>
    <definedName name="CLTrellis">Trellis!$B$3</definedName>
    <definedName name="CLTRV">'Factors &amp; Yield'!$D$29</definedName>
    <definedName name="CLWild">Wildlife!$D$23</definedName>
    <definedName name="CLYear1">'Central Leader'!$I$63</definedName>
    <definedName name="CLYear2">'Central Leader'!$I$93</definedName>
    <definedName name="CLYear3">'Central Leader'!$I$124</definedName>
    <definedName name="CLYear4">'Central Leader'!$I$155</definedName>
    <definedName name="CLYear5">'Central Leader'!$I$186</definedName>
    <definedName name="CLYear6">'Central Leader'!$I$217</definedName>
    <definedName name="CLYear7">'Central Leader'!$I$248</definedName>
    <definedName name="CLYear8">'Central Leader'!$I$280</definedName>
    <definedName name="COSTBULL">[1]Assumptions!$C$10</definedName>
    <definedName name="CustomPlant">'Factors &amp; Yield'!$C$12</definedName>
    <definedName name="Diesel">'Factors &amp; Yield'!$F$3</definedName>
    <definedName name="DiscountRate">'Factors &amp; Yield'!#REF!</definedName>
    <definedName name="EqOther">Equipment!$K$2</definedName>
    <definedName name="EquipCost">Equipment!$A$6:$O$57</definedName>
    <definedName name="EquipCostTab">Equipment!$B$5:$O$57</definedName>
    <definedName name="FertTon">Fertilizer!$E$3</definedName>
    <definedName name="FertTree1">Fertilizer!#REF!</definedName>
    <definedName name="FertTree2">Fertilizer!#REF!</definedName>
    <definedName name="FertTree3">Fertilizer!#REF!</definedName>
    <definedName name="FertTree4">Fertilizer!#REF!</definedName>
    <definedName name="FoliarMat">'Spray Program'!$K$61</definedName>
    <definedName name="Gas">'Factors &amp; Yield'!$F$2</definedName>
    <definedName name="HerbLabor">#REF!</definedName>
    <definedName name="HerbMat1">#REF!</definedName>
    <definedName name="HerbMat2">#REF!</definedName>
    <definedName name="HerbMat3">#REF!</definedName>
    <definedName name="HerbMat4">#REF!</definedName>
    <definedName name="HerbMat5">#REF!</definedName>
    <definedName name="HerbMat6">#REF!</definedName>
    <definedName name="HerbTrip">#REF!</definedName>
    <definedName name="HerbTrip1">#REF!</definedName>
    <definedName name="InflatRate">'Factors &amp; Yield'!#REF!</definedName>
    <definedName name="IntLand">'Factors &amp; Yield'!$F$5</definedName>
    <definedName name="IntOper">'Factors &amp; Yield'!$F$6</definedName>
    <definedName name="IntRate">'Factors &amp; Yield'!$F$5</definedName>
    <definedName name="Irrigation">'Factors &amp; Yield'!#REF!</definedName>
    <definedName name="KTon">Fertilizer!$E$4</definedName>
    <definedName name="LaborNoSkill">'Factors &amp; Yield'!$C$2</definedName>
    <definedName name="LaborPicking">'Factors &amp; Yield'!$C$5</definedName>
    <definedName name="LaborSkill">'Factors &amp; Yield'!$C$3</definedName>
    <definedName name="LandCost">'Factors &amp; Yield'!$F$9</definedName>
    <definedName name="Lime">'Factors &amp; Yield'!$C$17</definedName>
    <definedName name="Machinery">[1]Machinery!$B$5:$O$37</definedName>
    <definedName name="ManHours">Harvest!$D$5</definedName>
    <definedName name="MiceLabor1">#REF!</definedName>
    <definedName name="MouseBait">'Spray Program'!#REF!</definedName>
    <definedName name="NOSKILL">[1]Assumptions!$C$8</definedName>
    <definedName name="OrchLife">'Factors &amp; Yield'!$F$11</definedName>
    <definedName name="other">'Factors &amp; Yield'!$F$17</definedName>
    <definedName name="PieceRateBin">'Factors &amp; Yield'!$C$4</definedName>
    <definedName name="Price">'Factors &amp; Yield'!$F$7</definedName>
    <definedName name="_xlnm.Print_Area" localSheetId="24">Equipment!$A$1:$O$63</definedName>
    <definedName name="_xlnm.Print_Area" localSheetId="4">Fertilizer!$A$1:$K$48</definedName>
    <definedName name="_xlnm.Print_Area" localSheetId="11">Harvest!$A$1:$H$58</definedName>
    <definedName name="_xlnm.Print_Area" localSheetId="9">'Spray Program'!$A$1:$K$63</definedName>
    <definedName name="_xlnm.Print_Area" localSheetId="23">SprayPrice!$A$1:$Q$160</definedName>
    <definedName name="_xlnm.Print_Titles" localSheetId="24">Equipment!$1:$4</definedName>
    <definedName name="_xlnm.Print_Titles" localSheetId="9">'Spray Program'!$1:$2</definedName>
    <definedName name="_xlnm.Print_Titles" localSheetId="23">SprayPrice!$1:$8</definedName>
    <definedName name="REALTAX">[1]Assumptions!$G$9</definedName>
    <definedName name="RETax">'Factors &amp; Yield'!$F$10</definedName>
    <definedName name="Row">'Factors &amp; Yield'!#REF!</definedName>
    <definedName name="RowAcre">'Factors &amp; Yield'!#REF!</definedName>
    <definedName name="SalePriceRate">'Factors &amp; Yield'!#REF!</definedName>
    <definedName name="SKILLED">[1]Assumptions!$C$9</definedName>
    <definedName name="SoftHerb">Herbicide!$J$26</definedName>
    <definedName name="SprayCL">'Spray Program'!#REF!</definedName>
    <definedName name="SprayCost">SprayPrice!$A$1:$Q$156</definedName>
    <definedName name="SprayLabor1">#REF!</definedName>
    <definedName name="SprayMat1">'Spray Program'!#REF!</definedName>
    <definedName name="SprayMat2">'Spray Program'!#REF!</definedName>
    <definedName name="SprayMat3">'Spray Program'!#REF!</definedName>
    <definedName name="SprayMat4">'Spray Program'!$K$52</definedName>
    <definedName name="SprayTrip">#REF!</definedName>
    <definedName name="SprayTrip1">'Spray Program'!#REF!</definedName>
    <definedName name="SprayTrip2">'Spray Program'!#REF!</definedName>
    <definedName name="SprayTrip3">'Spray Program'!#REF!</definedName>
    <definedName name="SprayTrip4">'Spray Program'!$K$52</definedName>
    <definedName name="SprayTrip5">'Spray Program'!$K$52</definedName>
    <definedName name="SprayTS">'Spray Program'!#REF!</definedName>
    <definedName name="SprayVA">'Spray Program'!#REF!</definedName>
    <definedName name="SSBait1">Wildlife!$J$6</definedName>
    <definedName name="SSBait2">Wildlife!$J$7</definedName>
    <definedName name="SSBait3">Wildlife!$J$8</definedName>
    <definedName name="SSBait4">Wildlife!$J$9</definedName>
    <definedName name="SSBaitTIme1">Wildlife!$H$6</definedName>
    <definedName name="SSBaitTime2">Wildlife!$H$7</definedName>
    <definedName name="SSBaitTime3">Wildlife!$H$8</definedName>
    <definedName name="SSBaitTime4">Wildlife!$H$9</definedName>
    <definedName name="SSFert1">Fertilizer!$K$10</definedName>
    <definedName name="SSFert2">Fertilizer!$K$12</definedName>
    <definedName name="SSFert3">Fertilizer!$K$14</definedName>
    <definedName name="SSFert4">Fertilizer!$K$16</definedName>
    <definedName name="SSFertTime">Fertilizer!$G$48</definedName>
    <definedName name="SSFertTime1">Fertilizer!$J$34</definedName>
    <definedName name="SSFertTime2">Fertilizer!$J$35</definedName>
    <definedName name="SSFertTime3">Fertilizer!$J$36</definedName>
    <definedName name="SSFertTime4">Fertilizer!$J$37</definedName>
    <definedName name="SSHerb1">Herbicide!$J$6</definedName>
    <definedName name="SSHerb2">Herbicide!$J$7</definedName>
    <definedName name="SSHerb3">Herbicide!$J$8</definedName>
    <definedName name="SSHerb4">Herbicide!$J$9</definedName>
    <definedName name="SSHerbTIme">Herbicide!$J$15</definedName>
    <definedName name="SSIrr">Irrigation!$J$39</definedName>
    <definedName name="SSMowTime">Mowing!$G$21</definedName>
    <definedName name="SSMowTime1">Mowing!$G$7</definedName>
    <definedName name="SSMowTime2">Mowing!$G$8</definedName>
    <definedName name="SSMowTime3">Mowing!$G$9</definedName>
    <definedName name="SSMowTime4">Mowing!$G$10</definedName>
    <definedName name="SSProfit">'TS Profit'!$I$27</definedName>
    <definedName name="SSPrune1">Training!$G$25</definedName>
    <definedName name="SSPrune2">Training!$G$26</definedName>
    <definedName name="SSPrune3">Training!$G$27</definedName>
    <definedName name="SSPrune4">Training!$G$28</definedName>
    <definedName name="SSRow">'Factors &amp; Yield'!$F$21</definedName>
    <definedName name="SSRowAcre">'Factors &amp; Yield'!$F$21</definedName>
    <definedName name="SSRowSpace">'Factors &amp; Yield'!$F$23</definedName>
    <definedName name="SSSpray">'Spray Costs'!#REF!</definedName>
    <definedName name="SSSpray1">'Spray Costs'!#REF!</definedName>
    <definedName name="SSSpray2">'Spray Costs'!#REF!</definedName>
    <definedName name="SSSpray3">'Spray Costs'!#REF!</definedName>
    <definedName name="SSSpray4">'Spray Costs'!#REF!</definedName>
    <definedName name="SSSprayMat1">'Spray Costs'!$J$6</definedName>
    <definedName name="SSSprayMat2">'Spray Costs'!$J$7</definedName>
    <definedName name="SSSprayMat3">'Spray Costs'!$J$8</definedName>
    <definedName name="SSSprayMat4">'Spray Costs'!$J$9</definedName>
    <definedName name="SSSprayTime1">'Spray Costs'!#REF!</definedName>
    <definedName name="SSSprayTime2">'Spray Costs'!#REF!</definedName>
    <definedName name="SSSprayTime3">'Spray Costs'!#REF!</definedName>
    <definedName name="SSSprayTime4">'Spray Costs'!#REF!</definedName>
    <definedName name="SSStake">Trellis!#REF!</definedName>
    <definedName name="SSTime">'Spray Costs'!$G$27</definedName>
    <definedName name="SSTrain1">Training!$F$7</definedName>
    <definedName name="SSTrain2">Training!$F$8</definedName>
    <definedName name="SSTrain3">Training!$F$9</definedName>
    <definedName name="SSTrain4">Training!$F$10</definedName>
    <definedName name="SSTrainMat1">Training!$G$7</definedName>
    <definedName name="SSTrainMat2">Training!$G$8</definedName>
    <definedName name="SSTrainMat3">Training!$G$9</definedName>
    <definedName name="SSTrainMat4">Training!$G$10</definedName>
    <definedName name="SSTree">'Factors &amp; Yield'!$F$25</definedName>
    <definedName name="SSTrellis">Trellis!$H$3</definedName>
    <definedName name="SSWild">Wildlife!$D$25</definedName>
    <definedName name="SSYear1">'Tall Spindle'!$I$64</definedName>
    <definedName name="SSYear2">'Tall Spindle'!#REF!</definedName>
    <definedName name="SSYear3">'Tall Spindle'!$I$125</definedName>
    <definedName name="SSYear4">'Tall Spindle'!$I$157</definedName>
    <definedName name="StandHerb">Herbicide!$J$36</definedName>
    <definedName name="TotSpCost">'Spray Program'!$K$62</definedName>
    <definedName name="TotSprTrips">'Spray Program'!$C$51</definedName>
    <definedName name="TreeAcre">'Factors &amp; Yield'!#REF!</definedName>
    <definedName name="TreeCost">'Factors &amp; Yield'!$C$9</definedName>
    <definedName name="Trellis">Trellis!#REF!</definedName>
    <definedName name="TSSprayTime1">'Spray Costs'!$J$15</definedName>
    <definedName name="TSSPrayTime2">'Spray Costs'!$J$16</definedName>
    <definedName name="TSSprayTIme3">'Spray Costs'!$J$17</definedName>
    <definedName name="TSTRV">'Factors &amp; Yield'!$F$29</definedName>
    <definedName name="TSYear2">'Tall Spindle'!$I$94</definedName>
    <definedName name="UreaTon">Fertilizer!$E$3</definedName>
    <definedName name="VABait1">Wildlife!$G$6</definedName>
    <definedName name="VABait2">Wildlife!$G$7</definedName>
    <definedName name="VABait3">Wildlife!$G$8</definedName>
    <definedName name="VABait4">Wildlife!$G$9</definedName>
    <definedName name="VABait5">Wildlife!$G$10</definedName>
    <definedName name="VABait6">Wildlife!$G$11</definedName>
    <definedName name="VABaitTime1">Wildlife!$E$6</definedName>
    <definedName name="VABaitTime2">Wildlife!$E$7</definedName>
    <definedName name="VABaitTime3">Wildlife!$E$8</definedName>
    <definedName name="VABaitTime4">Wildlife!$E$9</definedName>
    <definedName name="VABaitTime5">Wildlife!$E$10</definedName>
    <definedName name="VABaitTIme6">Wildlife!$E$11</definedName>
    <definedName name="VAFert1">Fertilizer!$H$10</definedName>
    <definedName name="VAFert2">Fertilizer!$H$12</definedName>
    <definedName name="VAFert3">Fertilizer!$H$14</definedName>
    <definedName name="VAFert4">Fertilizer!$H$16</definedName>
    <definedName name="VAFert5">Fertilizer!$H$18</definedName>
    <definedName name="VAFert6">Fertilizer!$H$20</definedName>
    <definedName name="VAFertTime">Fertilizer!$G$47</definedName>
    <definedName name="VAFertTime1">Fertilizer!$G$34</definedName>
    <definedName name="VAFertTime2">Fertilizer!$G$35</definedName>
    <definedName name="VAFertTime3">Fertilizer!$G$36</definedName>
    <definedName name="VAFertTime4">Fertilizer!$G$37</definedName>
    <definedName name="VAFertTime5">Fertilizer!$G$38</definedName>
    <definedName name="VAFertTime6">Fertilizer!$G$39</definedName>
    <definedName name="VAHerb1">Herbicide!$G$6</definedName>
    <definedName name="VAHerb2">Herbicide!$G$7</definedName>
    <definedName name="VAHerb3">Herbicide!$G$8</definedName>
    <definedName name="VAHerb4">Herbicide!$G$9</definedName>
    <definedName name="VAHerb5">Herbicide!$G$10</definedName>
    <definedName name="VAHerb6">Herbicide!$G$11</definedName>
    <definedName name="VAHerbTime">Herbicide!$G$15</definedName>
    <definedName name="VAIrr">Irrigation!$J$22</definedName>
    <definedName name="VAMowTime">Mowing!$G$20</definedName>
    <definedName name="VAMowTIme1">Mowing!$E$7</definedName>
    <definedName name="VAMowTime2">Mowing!$E$8</definedName>
    <definedName name="VAMowTime3">Mowing!$E$9</definedName>
    <definedName name="VAMowTime4">Mowing!$E$10</definedName>
    <definedName name="VAMowTime5">Mowing!$E$11</definedName>
    <definedName name="VAMowTime6">Mowing!$E$12</definedName>
    <definedName name="VAProfit">'VA Profit'!$I$27</definedName>
    <definedName name="VAPrune1">Training!$E$25</definedName>
    <definedName name="VAPrune2">Training!$E$26</definedName>
    <definedName name="VAPrune3">Training!$E$27</definedName>
    <definedName name="VAPrune4">Training!$E$28</definedName>
    <definedName name="VAPrune5">Training!$E$29</definedName>
    <definedName name="VAPrune6">Training!$E$30</definedName>
    <definedName name="VARow">'Factors &amp; Yield'!$E$21</definedName>
    <definedName name="VARowAcre">'Factors &amp; Yield'!$E$21</definedName>
    <definedName name="VARowSpace">'Factors &amp; Yield'!$E$23</definedName>
    <definedName name="VASpray">'Spray Costs'!#REF!</definedName>
    <definedName name="VASpray1">'Spray Costs'!#REF!</definedName>
    <definedName name="VASpray2">'Spray Costs'!#REF!</definedName>
    <definedName name="VASpray3">'Spray Costs'!#REF!</definedName>
    <definedName name="VASpray4">'Spray Costs'!#REF!</definedName>
    <definedName name="VASprayMat1">'Spray Costs'!$G$6</definedName>
    <definedName name="VASprayMat2">'Spray Costs'!$G$7</definedName>
    <definedName name="VASprayMat3">'Spray Costs'!$G$8</definedName>
    <definedName name="VASprayMat4">'Spray Costs'!$G$9</definedName>
    <definedName name="VASprayMat5">'Spray Costs'!$G$10</definedName>
    <definedName name="VASprayMat6">'Spray Costs'!$G$11</definedName>
    <definedName name="VASprayTime1">'Spray Costs'!$G$15</definedName>
    <definedName name="VASprayTime2">'Spray Costs'!$G$16</definedName>
    <definedName name="VASprayTIme3">'Spray Costs'!$G$17</definedName>
    <definedName name="VASprayTime4">'Spray Costs'!$G$18</definedName>
    <definedName name="VASprayTime5">'Spray Costs'!#REF!</definedName>
    <definedName name="VASprayTime6">'Spray Costs'!#REF!</definedName>
    <definedName name="VATime">'Spray Costs'!$G$26</definedName>
    <definedName name="VATrain1">Training!$D$7</definedName>
    <definedName name="VATrain2">Training!$D$8</definedName>
    <definedName name="VATrain3">Training!$D$9</definedName>
    <definedName name="VATrain4">Training!$D$10</definedName>
    <definedName name="VATrain5">Training!$D$11</definedName>
    <definedName name="VATrain6">Training!$D$12</definedName>
    <definedName name="VATrainMat1">Training!$E$7</definedName>
    <definedName name="VATrainMat2">Training!$E$8</definedName>
    <definedName name="VATrainMat3">Training!$E$9</definedName>
    <definedName name="VATrainMat4">Training!$E$10</definedName>
    <definedName name="VATrainMat5">Training!$E$11</definedName>
    <definedName name="VATrainMat6">Training!$E$12</definedName>
    <definedName name="VATree">'Factors &amp; Yield'!$E$25</definedName>
    <definedName name="VATrellis">Trellis!$E$3</definedName>
    <definedName name="VATRV">'Factors &amp; Yield'!$E$29</definedName>
    <definedName name="VAWild">Wildlife!$D$24</definedName>
    <definedName name="VAYear1">'Vertical Axe'!$I$64</definedName>
    <definedName name="VAYear2">'Vertical Axe'!$I$94</definedName>
    <definedName name="VAYear3">'Vertical Axe'!$I$124</definedName>
    <definedName name="VAYear4">'Vertical Axe'!$I$155</definedName>
    <definedName name="VAYear5">'Vertical Axe'!$I$186</definedName>
    <definedName name="VAYear6">'Vertical Axe'!$I$218</definedName>
    <definedName name="WeekUse">Harvest!$E$8</definedName>
    <definedName name="Wildlife">'Factors &amp; Yield'!$C$10</definedName>
    <definedName name="Year0">PrepYear!$I$11</definedName>
    <definedName name="Year1">'Vertical Axe'!$I$64</definedName>
    <definedName name="Year2">'Vertical Axe'!$I$94</definedName>
    <definedName name="Year3">'Vertical Axe'!$I$124</definedName>
    <definedName name="Year4">'Vertical Axe'!$I$155</definedName>
    <definedName name="Year5">'Vertical Axe'!$I$186</definedName>
    <definedName name="Year6">'Vertical Axe'!$I$218</definedName>
  </definedNames>
  <calcPr calcId="125725" fullCalcOnLoad="1"/>
</workbook>
</file>

<file path=xl/calcChain.xml><?xml version="1.0" encoding="utf-8"?>
<calcChain xmlns="http://schemas.openxmlformats.org/spreadsheetml/2006/main">
  <c r="O26" i="7"/>
  <c r="O25"/>
  <c r="P25" s="1"/>
  <c r="O24"/>
  <c r="O23"/>
  <c r="P23" s="1"/>
  <c r="O22"/>
  <c r="O21"/>
  <c r="P21" s="1"/>
  <c r="O20"/>
  <c r="O19"/>
  <c r="P19" s="1"/>
  <c r="O18"/>
  <c r="O17"/>
  <c r="P17" s="1"/>
  <c r="O16"/>
  <c r="O15"/>
  <c r="P15" s="1"/>
  <c r="O14"/>
  <c r="O13"/>
  <c r="P13" s="1"/>
  <c r="O12"/>
  <c r="O11"/>
  <c r="P11" s="1"/>
  <c r="O10"/>
  <c r="O9"/>
  <c r="P9" s="1"/>
  <c r="O8"/>
  <c r="O7"/>
  <c r="P7" s="1"/>
  <c r="O6"/>
  <c r="P6" s="1"/>
  <c r="Q6" s="1"/>
  <c r="P26"/>
  <c r="P24"/>
  <c r="P22"/>
  <c r="P20"/>
  <c r="P18"/>
  <c r="P16"/>
  <c r="P14"/>
  <c r="P12"/>
  <c r="P10"/>
  <c r="P8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K27" i="1"/>
  <c r="J27"/>
  <c r="I27"/>
  <c r="K26"/>
  <c r="J26"/>
  <c r="I26"/>
  <c r="K24"/>
  <c r="K25" s="1"/>
  <c r="J24"/>
  <c r="J25" s="1"/>
  <c r="I24"/>
  <c r="I25" s="1"/>
  <c r="K21"/>
  <c r="J21"/>
  <c r="I21"/>
  <c r="B9" i="29"/>
  <c r="M9"/>
  <c r="L9"/>
  <c r="K9"/>
  <c r="J9"/>
  <c r="I9"/>
  <c r="H9"/>
  <c r="G9"/>
  <c r="F9"/>
  <c r="E9"/>
  <c r="D9"/>
  <c r="C9"/>
  <c r="J6" i="3"/>
  <c r="F6"/>
  <c r="C9" i="9"/>
  <c r="C7"/>
  <c r="Q17" i="24"/>
  <c r="H59" i="13"/>
  <c r="H58"/>
  <c r="H57"/>
  <c r="H56"/>
  <c r="H55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C72" i="26"/>
  <c r="D72"/>
  <c r="B72"/>
  <c r="C65"/>
  <c r="I65"/>
  <c r="D65"/>
  <c r="B65"/>
  <c r="I72"/>
  <c r="H72"/>
  <c r="H65"/>
  <c r="H156"/>
  <c r="G156"/>
  <c r="F156"/>
  <c r="B219"/>
  <c r="B220"/>
  <c r="D2"/>
  <c r="D1"/>
  <c r="E6"/>
  <c r="E7"/>
  <c r="E8"/>
  <c r="E9"/>
  <c r="E5"/>
  <c r="C27" i="14"/>
  <c r="B8" i="10"/>
  <c r="B11"/>
  <c r="C5"/>
  <c r="C11"/>
  <c r="H4"/>
  <c r="B8" i="8"/>
  <c r="B11" s="1"/>
  <c r="C5"/>
  <c r="C11" s="1"/>
  <c r="H4"/>
  <c r="B8" i="6"/>
  <c r="H4"/>
  <c r="C5"/>
  <c r="C11" i="28"/>
  <c r="B11"/>
  <c r="H8"/>
  <c r="D8"/>
  <c r="H7"/>
  <c r="G6"/>
  <c r="F5"/>
  <c r="I4"/>
  <c r="C36" i="23"/>
  <c r="C35"/>
  <c r="C34"/>
  <c r="B36"/>
  <c r="B35"/>
  <c r="B34"/>
  <c r="A36"/>
  <c r="B41" s="1"/>
  <c r="A35"/>
  <c r="A34"/>
  <c r="B39"/>
  <c r="C3"/>
  <c r="C41" i="4"/>
  <c r="E10" i="26"/>
  <c r="H68"/>
  <c r="I68"/>
  <c r="J68"/>
  <c r="J70"/>
  <c r="H69"/>
  <c r="I69"/>
  <c r="E69"/>
  <c r="J69"/>
  <c r="I67"/>
  <c r="J67"/>
  <c r="H67"/>
  <c r="H66"/>
  <c r="H70"/>
  <c r="E59"/>
  <c r="E60"/>
  <c r="E61"/>
  <c r="E63"/>
  <c r="E68"/>
  <c r="E58"/>
  <c r="J62"/>
  <c r="I62"/>
  <c r="E62"/>
  <c r="H62"/>
  <c r="J66"/>
  <c r="I66"/>
  <c r="E66"/>
  <c r="G58"/>
  <c r="G59"/>
  <c r="G60"/>
  <c r="G62"/>
  <c r="G63"/>
  <c r="G66"/>
  <c r="H57"/>
  <c r="I57"/>
  <c r="A75"/>
  <c r="G75"/>
  <c r="E30" i="4"/>
  <c r="C31"/>
  <c r="C32"/>
  <c r="C33"/>
  <c r="C34"/>
  <c r="C35"/>
  <c r="C36"/>
  <c r="C37"/>
  <c r="C38"/>
  <c r="C39"/>
  <c r="C40"/>
  <c r="C3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A68" i="26"/>
  <c r="A77"/>
  <c r="G68"/>
  <c r="A67"/>
  <c r="G67"/>
  <c r="A61"/>
  <c r="G61"/>
  <c r="L59" i="13"/>
  <c r="L58"/>
  <c r="L57"/>
  <c r="L56"/>
  <c r="L55"/>
  <c r="L3"/>
  <c r="L4"/>
  <c r="L5"/>
  <c r="Q5" s="1"/>
  <c r="L6"/>
  <c r="Q6" s="1"/>
  <c r="L7"/>
  <c r="Q7" s="1"/>
  <c r="L8"/>
  <c r="L9"/>
  <c r="P9"/>
  <c r="Q9"/>
  <c r="L10"/>
  <c r="L11"/>
  <c r="L12"/>
  <c r="L13"/>
  <c r="Q13"/>
  <c r="L14"/>
  <c r="Q14"/>
  <c r="L15"/>
  <c r="Q15"/>
  <c r="L16"/>
  <c r="L17"/>
  <c r="Q17" s="1"/>
  <c r="L18"/>
  <c r="L19"/>
  <c r="L20"/>
  <c r="L21"/>
  <c r="M21"/>
  <c r="Q21"/>
  <c r="L22"/>
  <c r="Q22" s="1"/>
  <c r="L23"/>
  <c r="L24"/>
  <c r="L25"/>
  <c r="Q25" s="1"/>
  <c r="L26"/>
  <c r="L27"/>
  <c r="L28"/>
  <c r="L29"/>
  <c r="L30"/>
  <c r="Q30" s="1"/>
  <c r="L31"/>
  <c r="L32"/>
  <c r="L33"/>
  <c r="Q33" s="1"/>
  <c r="L34"/>
  <c r="L35"/>
  <c r="L36"/>
  <c r="N36" s="1"/>
  <c r="L37"/>
  <c r="L38"/>
  <c r="Q38"/>
  <c r="L39"/>
  <c r="Q39"/>
  <c r="L40"/>
  <c r="L41"/>
  <c r="Q41" s="1"/>
  <c r="L42"/>
  <c r="M42" s="1"/>
  <c r="L43"/>
  <c r="L44"/>
  <c r="L45"/>
  <c r="Q45" s="1"/>
  <c r="L46"/>
  <c r="Q46" s="1"/>
  <c r="L47"/>
  <c r="P47" s="1"/>
  <c r="Q47"/>
  <c r="L48"/>
  <c r="L49"/>
  <c r="Q49" s="1"/>
  <c r="B25" i="17"/>
  <c r="B8"/>
  <c r="F5" i="13"/>
  <c r="F6"/>
  <c r="F7"/>
  <c r="K7" s="1"/>
  <c r="F8"/>
  <c r="F9"/>
  <c r="F12"/>
  <c r="F13"/>
  <c r="F16"/>
  <c r="F17"/>
  <c r="F19"/>
  <c r="F20"/>
  <c r="F22"/>
  <c r="F23"/>
  <c r="F24"/>
  <c r="K24"/>
  <c r="F26"/>
  <c r="F27"/>
  <c r="F28"/>
  <c r="F29"/>
  <c r="F30"/>
  <c r="K30"/>
  <c r="F31"/>
  <c r="F32"/>
  <c r="F33"/>
  <c r="K33"/>
  <c r="F35"/>
  <c r="F36"/>
  <c r="F38"/>
  <c r="K38"/>
  <c r="F39"/>
  <c r="K39"/>
  <c r="F40"/>
  <c r="K40"/>
  <c r="F41"/>
  <c r="F42"/>
  <c r="K42" s="1"/>
  <c r="F43"/>
  <c r="K43" s="1"/>
  <c r="M43" s="1"/>
  <c r="F44"/>
  <c r="K44" s="1"/>
  <c r="N44" s="1"/>
  <c r="F45"/>
  <c r="F46"/>
  <c r="K46"/>
  <c r="F47"/>
  <c r="K47"/>
  <c r="F48"/>
  <c r="K48"/>
  <c r="D139" i="10"/>
  <c r="I139" s="1"/>
  <c r="E162" i="26" s="1"/>
  <c r="D262" i="6"/>
  <c r="I262" s="1"/>
  <c r="C162" i="26" s="1"/>
  <c r="D200" i="8"/>
  <c r="I200"/>
  <c r="D162" i="26" s="1"/>
  <c r="C50" i="11"/>
  <c r="D50"/>
  <c r="C49"/>
  <c r="D49"/>
  <c r="C48"/>
  <c r="B28"/>
  <c r="B27"/>
  <c r="B26"/>
  <c r="A50"/>
  <c r="K55" i="21"/>
  <c r="K53"/>
  <c r="K51"/>
  <c r="K50"/>
  <c r="K49"/>
  <c r="K47"/>
  <c r="K45"/>
  <c r="I45"/>
  <c r="H43"/>
  <c r="I43"/>
  <c r="G55"/>
  <c r="F55"/>
  <c r="G53"/>
  <c r="F53"/>
  <c r="L53"/>
  <c r="G51"/>
  <c r="L51" s="1"/>
  <c r="F51"/>
  <c r="G50"/>
  <c r="F50"/>
  <c r="G49"/>
  <c r="L49" s="1"/>
  <c r="F49"/>
  <c r="G47"/>
  <c r="L47" s="1"/>
  <c r="N47" s="1"/>
  <c r="O47" s="1"/>
  <c r="F47"/>
  <c r="G45"/>
  <c r="L45" s="1"/>
  <c r="F45"/>
  <c r="A34" i="3"/>
  <c r="A26"/>
  <c r="A16"/>
  <c r="A35"/>
  <c r="A27"/>
  <c r="A20"/>
  <c r="A17"/>
  <c r="H92" i="10"/>
  <c r="F92"/>
  <c r="D92"/>
  <c r="H91"/>
  <c r="F91"/>
  <c r="D91"/>
  <c r="D90"/>
  <c r="I89"/>
  <c r="I88"/>
  <c r="D87"/>
  <c r="D101"/>
  <c r="C101"/>
  <c r="D100"/>
  <c r="C100"/>
  <c r="G98"/>
  <c r="B98"/>
  <c r="D98"/>
  <c r="A224" i="8"/>
  <c r="A30" i="3"/>
  <c r="H92" i="8"/>
  <c r="F92"/>
  <c r="D92"/>
  <c r="H91"/>
  <c r="H94" s="1"/>
  <c r="F91"/>
  <c r="D91"/>
  <c r="D100"/>
  <c r="C100"/>
  <c r="D99"/>
  <c r="C99"/>
  <c r="G97"/>
  <c r="B97"/>
  <c r="D97"/>
  <c r="D90"/>
  <c r="I89"/>
  <c r="I88"/>
  <c r="A286" i="6"/>
  <c r="B102"/>
  <c r="D102"/>
  <c r="D100"/>
  <c r="C100"/>
  <c r="D99"/>
  <c r="C99"/>
  <c r="G97"/>
  <c r="B97"/>
  <c r="D97" s="1"/>
  <c r="D89"/>
  <c r="I88"/>
  <c r="I87"/>
  <c r="D86"/>
  <c r="B22" i="14"/>
  <c r="E20"/>
  <c r="B20"/>
  <c r="J15" i="25"/>
  <c r="B103" i="10"/>
  <c r="D103" s="1"/>
  <c r="G15" i="25"/>
  <c r="A36"/>
  <c r="H34"/>
  <c r="F34"/>
  <c r="E34"/>
  <c r="C34"/>
  <c r="H33"/>
  <c r="F33"/>
  <c r="E33"/>
  <c r="C33"/>
  <c r="H32"/>
  <c r="F32"/>
  <c r="E32"/>
  <c r="C32"/>
  <c r="H31"/>
  <c r="F31"/>
  <c r="E31"/>
  <c r="C31"/>
  <c r="H30"/>
  <c r="F30"/>
  <c r="E30"/>
  <c r="C30"/>
  <c r="H24"/>
  <c r="F24"/>
  <c r="E24"/>
  <c r="C24"/>
  <c r="H23"/>
  <c r="F23"/>
  <c r="E23"/>
  <c r="C23"/>
  <c r="H22"/>
  <c r="F22"/>
  <c r="E22"/>
  <c r="C22"/>
  <c r="H21"/>
  <c r="F21"/>
  <c r="E21"/>
  <c r="C21"/>
  <c r="F11"/>
  <c r="C11"/>
  <c r="C12"/>
  <c r="C13"/>
  <c r="I7"/>
  <c r="I8" s="1"/>
  <c r="F7"/>
  <c r="F8" s="1"/>
  <c r="C7"/>
  <c r="C8"/>
  <c r="C9"/>
  <c r="G5"/>
  <c r="J5"/>
  <c r="F5"/>
  <c r="I5"/>
  <c r="E5"/>
  <c r="H5"/>
  <c r="F4"/>
  <c r="I4"/>
  <c r="G26" i="14"/>
  <c r="G27"/>
  <c r="E4"/>
  <c r="H4"/>
  <c r="E5"/>
  <c r="H5"/>
  <c r="F5"/>
  <c r="G5"/>
  <c r="J5" s="1"/>
  <c r="I5"/>
  <c r="E11"/>
  <c r="B13"/>
  <c r="B11"/>
  <c r="J3"/>
  <c r="G3"/>
  <c r="D3"/>
  <c r="E21" i="1"/>
  <c r="E26"/>
  <c r="F26"/>
  <c r="D26"/>
  <c r="F27"/>
  <c r="D36" i="23" s="1"/>
  <c r="A41" s="1"/>
  <c r="C41" s="1"/>
  <c r="E27" i="1"/>
  <c r="D35" i="23"/>
  <c r="D27" i="1"/>
  <c r="D34" i="23" s="1"/>
  <c r="I41" i="13"/>
  <c r="G41"/>
  <c r="K41"/>
  <c r="E41"/>
  <c r="E59"/>
  <c r="G59"/>
  <c r="I59"/>
  <c r="K59"/>
  <c r="E58"/>
  <c r="G58"/>
  <c r="I58"/>
  <c r="K58"/>
  <c r="I57"/>
  <c r="K57"/>
  <c r="Q57"/>
  <c r="G57"/>
  <c r="E57"/>
  <c r="I56"/>
  <c r="K56"/>
  <c r="Q56" s="1"/>
  <c r="G56"/>
  <c r="E56"/>
  <c r="I55"/>
  <c r="K55"/>
  <c r="G55"/>
  <c r="E55"/>
  <c r="K50"/>
  <c r="I49"/>
  <c r="G49"/>
  <c r="K49"/>
  <c r="E49"/>
  <c r="I42"/>
  <c r="G42"/>
  <c r="E42"/>
  <c r="I48"/>
  <c r="G48"/>
  <c r="E48"/>
  <c r="I47"/>
  <c r="G47"/>
  <c r="E47"/>
  <c r="I46"/>
  <c r="G46"/>
  <c r="E46"/>
  <c r="I45"/>
  <c r="G45"/>
  <c r="K45"/>
  <c r="E45"/>
  <c r="I44"/>
  <c r="G44"/>
  <c r="E44"/>
  <c r="I43"/>
  <c r="G43"/>
  <c r="E43"/>
  <c r="I40"/>
  <c r="G40"/>
  <c r="E40"/>
  <c r="I39"/>
  <c r="G39"/>
  <c r="E39"/>
  <c r="I38"/>
  <c r="G38"/>
  <c r="E38"/>
  <c r="I37"/>
  <c r="G37"/>
  <c r="K37"/>
  <c r="E37"/>
  <c r="E33"/>
  <c r="G33"/>
  <c r="I33"/>
  <c r="E34"/>
  <c r="G34"/>
  <c r="I34"/>
  <c r="E35"/>
  <c r="G35"/>
  <c r="I35"/>
  <c r="E36"/>
  <c r="G36"/>
  <c r="I36"/>
  <c r="G24"/>
  <c r="I24"/>
  <c r="G25"/>
  <c r="K25"/>
  <c r="I25"/>
  <c r="G26"/>
  <c r="I26"/>
  <c r="G27"/>
  <c r="I27"/>
  <c r="G28"/>
  <c r="I28"/>
  <c r="G29"/>
  <c r="I29"/>
  <c r="G30"/>
  <c r="I30"/>
  <c r="G31"/>
  <c r="I31"/>
  <c r="G32"/>
  <c r="I32"/>
  <c r="E31"/>
  <c r="E28"/>
  <c r="E29"/>
  <c r="E30"/>
  <c r="E32"/>
  <c r="E26"/>
  <c r="E2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E18"/>
  <c r="G18"/>
  <c r="E4"/>
  <c r="G4"/>
  <c r="E23"/>
  <c r="G23"/>
  <c r="E24"/>
  <c r="E25"/>
  <c r="D8" i="6"/>
  <c r="D11" s="1"/>
  <c r="H8"/>
  <c r="H7" i="8"/>
  <c r="H8"/>
  <c r="D8" i="10"/>
  <c r="D11" s="1"/>
  <c r="L6" i="3" s="1"/>
  <c r="H8" i="10"/>
  <c r="B221" i="26"/>
  <c r="A69"/>
  <c r="G77"/>
  <c r="A76"/>
  <c r="G76"/>
  <c r="D31" i="4"/>
  <c r="D32"/>
  <c r="D33"/>
  <c r="O3" i="13"/>
  <c r="P3"/>
  <c r="M4"/>
  <c r="N5"/>
  <c r="N6"/>
  <c r="O6"/>
  <c r="P6"/>
  <c r="O7"/>
  <c r="P8"/>
  <c r="M9"/>
  <c r="O9"/>
  <c r="N12"/>
  <c r="P12"/>
  <c r="N13"/>
  <c r="N14"/>
  <c r="O14"/>
  <c r="P14"/>
  <c r="P15"/>
  <c r="N16"/>
  <c r="P16"/>
  <c r="N17"/>
  <c r="O17"/>
  <c r="P17"/>
  <c r="M18"/>
  <c r="N21"/>
  <c r="P21"/>
  <c r="N22"/>
  <c r="O22"/>
  <c r="P22"/>
  <c r="M24"/>
  <c r="O24"/>
  <c r="P24"/>
  <c r="M25"/>
  <c r="N25"/>
  <c r="O25"/>
  <c r="P25"/>
  <c r="O26"/>
  <c r="P26"/>
  <c r="N27"/>
  <c r="P27"/>
  <c r="N28"/>
  <c r="M30"/>
  <c r="N30"/>
  <c r="P30"/>
  <c r="P31"/>
  <c r="M32"/>
  <c r="O32"/>
  <c r="N33"/>
  <c r="O33"/>
  <c r="P33"/>
  <c r="O34"/>
  <c r="N35"/>
  <c r="P35"/>
  <c r="M36"/>
  <c r="N37"/>
  <c r="M38"/>
  <c r="N38"/>
  <c r="O38"/>
  <c r="P38"/>
  <c r="N39"/>
  <c r="M40"/>
  <c r="O40"/>
  <c r="M41"/>
  <c r="N41"/>
  <c r="O41"/>
  <c r="P41"/>
  <c r="N43"/>
  <c r="O43"/>
  <c r="M44"/>
  <c r="O44"/>
  <c r="M45"/>
  <c r="M46"/>
  <c r="N46"/>
  <c r="O46"/>
  <c r="P46"/>
  <c r="M47"/>
  <c r="N47"/>
  <c r="O47"/>
  <c r="N48"/>
  <c r="M49"/>
  <c r="N49"/>
  <c r="O49"/>
  <c r="P49"/>
  <c r="Q59"/>
  <c r="I4" i="10"/>
  <c r="I4" i="8"/>
  <c r="I6" i="28"/>
  <c r="M55" i="13"/>
  <c r="N55"/>
  <c r="O55"/>
  <c r="P55"/>
  <c r="M57"/>
  <c r="N57"/>
  <c r="O57"/>
  <c r="P57"/>
  <c r="M58"/>
  <c r="O58"/>
  <c r="P58"/>
  <c r="M59"/>
  <c r="N59"/>
  <c r="O59"/>
  <c r="P59"/>
  <c r="N45" i="21"/>
  <c r="O45" s="1"/>
  <c r="C26" i="11"/>
  <c r="H26" s="1"/>
  <c r="C28"/>
  <c r="H28" s="1"/>
  <c r="N53" i="21"/>
  <c r="O53" s="1"/>
  <c r="L55"/>
  <c r="N55" s="1"/>
  <c r="O55" s="1"/>
  <c r="C103" i="10"/>
  <c r="C104" s="1"/>
  <c r="C102" i="6"/>
  <c r="C103" s="1"/>
  <c r="K23" i="13"/>
  <c r="K28"/>
  <c r="O28"/>
  <c r="K27"/>
  <c r="K26"/>
  <c r="N26" s="1"/>
  <c r="K31"/>
  <c r="O31" s="1"/>
  <c r="O30"/>
  <c r="K29"/>
  <c r="K36"/>
  <c r="K35"/>
  <c r="M35"/>
  <c r="K34"/>
  <c r="M34"/>
  <c r="K32"/>
  <c r="N32"/>
  <c r="M33"/>
  <c r="G20"/>
  <c r="E20"/>
  <c r="G19"/>
  <c r="E19"/>
  <c r="G21"/>
  <c r="E21"/>
  <c r="E15"/>
  <c r="G15"/>
  <c r="E16"/>
  <c r="G16"/>
  <c r="E17"/>
  <c r="G17"/>
  <c r="E13"/>
  <c r="G13"/>
  <c r="E14"/>
  <c r="G14"/>
  <c r="E10"/>
  <c r="G10"/>
  <c r="E11"/>
  <c r="G11"/>
  <c r="E12"/>
  <c r="G12"/>
  <c r="E8"/>
  <c r="G8"/>
  <c r="E9"/>
  <c r="G9"/>
  <c r="G22"/>
  <c r="K22"/>
  <c r="M22"/>
  <c r="E22"/>
  <c r="G7"/>
  <c r="E7"/>
  <c r="G6"/>
  <c r="E6"/>
  <c r="G5"/>
  <c r="E5"/>
  <c r="I3"/>
  <c r="G3"/>
  <c r="F3"/>
  <c r="E3"/>
  <c r="H14"/>
  <c r="K14" s="1"/>
  <c r="M14" s="1"/>
  <c r="G30" i="25"/>
  <c r="J30"/>
  <c r="G34"/>
  <c r="J34"/>
  <c r="G33"/>
  <c r="J33"/>
  <c r="H20" i="13"/>
  <c r="K20" s="1"/>
  <c r="H8"/>
  <c r="K8"/>
  <c r="H18"/>
  <c r="K18" s="1"/>
  <c r="N18" s="1"/>
  <c r="G21" i="25"/>
  <c r="J21" s="1"/>
  <c r="H3" i="13"/>
  <c r="K3" s="1"/>
  <c r="H21"/>
  <c r="K21" s="1"/>
  <c r="O21" s="1"/>
  <c r="G23" i="25"/>
  <c r="J23"/>
  <c r="H9" i="13"/>
  <c r="K9"/>
  <c r="N9" s="1"/>
  <c r="B254" i="6"/>
  <c r="C39" i="21"/>
  <c r="F32"/>
  <c r="G32"/>
  <c r="I32"/>
  <c r="K32"/>
  <c r="C31" i="12"/>
  <c r="G31"/>
  <c r="J31"/>
  <c r="F15" i="1"/>
  <c r="B8" i="11"/>
  <c r="D25" i="18"/>
  <c r="J37"/>
  <c r="J35"/>
  <c r="J27"/>
  <c r="F27"/>
  <c r="J18"/>
  <c r="F10"/>
  <c r="D8"/>
  <c r="B20" i="17"/>
  <c r="B37"/>
  <c r="B18"/>
  <c r="B35"/>
  <c r="G37"/>
  <c r="H29"/>
  <c r="J27"/>
  <c r="G20"/>
  <c r="H12"/>
  <c r="D12"/>
  <c r="J10"/>
  <c r="D21" i="1"/>
  <c r="F21"/>
  <c r="B25" i="18"/>
  <c r="F25" s="1"/>
  <c r="J25" s="1"/>
  <c r="J47" i="16"/>
  <c r="E11" i="12"/>
  <c r="B205" i="8"/>
  <c r="E10" i="12"/>
  <c r="E9"/>
  <c r="E8"/>
  <c r="H9"/>
  <c r="B144" i="10"/>
  <c r="H8" i="12"/>
  <c r="B85" i="10"/>
  <c r="D85" s="1"/>
  <c r="H7" i="12"/>
  <c r="H6"/>
  <c r="E7"/>
  <c r="B85" i="8"/>
  <c r="E6" i="12"/>
  <c r="B7"/>
  <c r="B8"/>
  <c r="B84" i="6"/>
  <c r="B9" i="12"/>
  <c r="B142" i="6"/>
  <c r="B10" i="12"/>
  <c r="B173" i="6"/>
  <c r="C173" s="1"/>
  <c r="C174" s="1"/>
  <c r="B11" i="12"/>
  <c r="B204" i="6"/>
  <c r="C204" s="1"/>
  <c r="C205" s="1"/>
  <c r="B12" i="12"/>
  <c r="B13"/>
  <c r="B267" i="6"/>
  <c r="B6" i="12"/>
  <c r="D37" i="16"/>
  <c r="B146" i="6" s="1"/>
  <c r="J44" i="16"/>
  <c r="J45"/>
  <c r="I45"/>
  <c r="B40" i="23"/>
  <c r="J96" i="16"/>
  <c r="J108"/>
  <c r="J107"/>
  <c r="J106"/>
  <c r="J104"/>
  <c r="J102"/>
  <c r="J98"/>
  <c r="J97"/>
  <c r="J100"/>
  <c r="C223" i="6"/>
  <c r="D223"/>
  <c r="C192"/>
  <c r="D192"/>
  <c r="C161"/>
  <c r="D161"/>
  <c r="C130"/>
  <c r="D130"/>
  <c r="C69"/>
  <c r="D69"/>
  <c r="B190"/>
  <c r="D190"/>
  <c r="G190"/>
  <c r="D193"/>
  <c r="C193"/>
  <c r="D206"/>
  <c r="D213"/>
  <c r="N37" i="21"/>
  <c r="O37"/>
  <c r="D214" i="6"/>
  <c r="F214"/>
  <c r="H214"/>
  <c r="D215"/>
  <c r="F215"/>
  <c r="H215"/>
  <c r="H217" s="1"/>
  <c r="B159"/>
  <c r="G159"/>
  <c r="D162"/>
  <c r="C162"/>
  <c r="D175"/>
  <c r="D182"/>
  <c r="D183"/>
  <c r="F183"/>
  <c r="H183"/>
  <c r="D184"/>
  <c r="F184"/>
  <c r="H184"/>
  <c r="H186" s="1"/>
  <c r="B128"/>
  <c r="D128" s="1"/>
  <c r="G128"/>
  <c r="D131"/>
  <c r="C131"/>
  <c r="D142"/>
  <c r="C142"/>
  <c r="C143" s="1"/>
  <c r="D144"/>
  <c r="D151"/>
  <c r="D152"/>
  <c r="F152"/>
  <c r="I152" s="1"/>
  <c r="H152"/>
  <c r="D153"/>
  <c r="F153"/>
  <c r="H153"/>
  <c r="I153" s="1"/>
  <c r="D56"/>
  <c r="G252"/>
  <c r="B252"/>
  <c r="D252"/>
  <c r="C255"/>
  <c r="D255"/>
  <c r="B257"/>
  <c r="D258"/>
  <c r="D265"/>
  <c r="D268"/>
  <c r="D269"/>
  <c r="D272"/>
  <c r="G273"/>
  <c r="I273" s="1"/>
  <c r="C167" i="26" s="1"/>
  <c r="D276" i="6"/>
  <c r="F277"/>
  <c r="H277"/>
  <c r="I277" s="1"/>
  <c r="C171" i="26" s="1"/>
  <c r="D277" i="6"/>
  <c r="F278"/>
  <c r="H278"/>
  <c r="D278"/>
  <c r="I278" s="1"/>
  <c r="C172" i="26" s="1"/>
  <c r="I274" i="6"/>
  <c r="C168" i="26"/>
  <c r="I275" i="6"/>
  <c r="C169" i="26"/>
  <c r="G221" i="6"/>
  <c r="B221"/>
  <c r="C224"/>
  <c r="D224"/>
  <c r="B226"/>
  <c r="D237"/>
  <c r="G241"/>
  <c r="I241"/>
  <c r="D244"/>
  <c r="F245"/>
  <c r="H245"/>
  <c r="D245"/>
  <c r="I245" s="1"/>
  <c r="F246"/>
  <c r="H246"/>
  <c r="H248" s="1"/>
  <c r="D246"/>
  <c r="I242"/>
  <c r="I243"/>
  <c r="A291"/>
  <c r="A25" i="3"/>
  <c r="A290" i="6"/>
  <c r="A24" i="3"/>
  <c r="A289" i="6"/>
  <c r="A23" i="3"/>
  <c r="B195" i="6"/>
  <c r="C195" s="1"/>
  <c r="C196" s="1"/>
  <c r="D195"/>
  <c r="G210"/>
  <c r="I210" s="1"/>
  <c r="I211"/>
  <c r="I212"/>
  <c r="B164"/>
  <c r="C164" s="1"/>
  <c r="C165" s="1"/>
  <c r="D164"/>
  <c r="G179"/>
  <c r="I179" s="1"/>
  <c r="I180"/>
  <c r="I181"/>
  <c r="B133"/>
  <c r="C133" s="1"/>
  <c r="C134" s="1"/>
  <c r="D133"/>
  <c r="G148"/>
  <c r="I148" s="1"/>
  <c r="I149"/>
  <c r="I150"/>
  <c r="B115"/>
  <c r="D117"/>
  <c r="D120"/>
  <c r="F121"/>
  <c r="H121"/>
  <c r="D121"/>
  <c r="F122"/>
  <c r="H122"/>
  <c r="D122"/>
  <c r="I110"/>
  <c r="I118"/>
  <c r="I119"/>
  <c r="G67"/>
  <c r="B67"/>
  <c r="D67" s="1"/>
  <c r="B72"/>
  <c r="C79"/>
  <c r="F90"/>
  <c r="H90"/>
  <c r="B90"/>
  <c r="D90"/>
  <c r="F91"/>
  <c r="H91"/>
  <c r="D91"/>
  <c r="I91" s="1"/>
  <c r="C21"/>
  <c r="D21"/>
  <c r="C22"/>
  <c r="C23"/>
  <c r="D23"/>
  <c r="C24"/>
  <c r="C25"/>
  <c r="D25"/>
  <c r="C27"/>
  <c r="D27"/>
  <c r="D28"/>
  <c r="D31"/>
  <c r="C31"/>
  <c r="G33"/>
  <c r="B33"/>
  <c r="D33"/>
  <c r="B37"/>
  <c r="C37" s="1"/>
  <c r="C38" s="1"/>
  <c r="D37"/>
  <c r="C46"/>
  <c r="D46"/>
  <c r="C47"/>
  <c r="C48"/>
  <c r="D48"/>
  <c r="C49"/>
  <c r="D49"/>
  <c r="B54"/>
  <c r="C54" s="1"/>
  <c r="C57"/>
  <c r="D57"/>
  <c r="H60"/>
  <c r="I60" s="1"/>
  <c r="F61"/>
  <c r="H61"/>
  <c r="D61"/>
  <c r="C32"/>
  <c r="I35"/>
  <c r="I42"/>
  <c r="I58"/>
  <c r="I59"/>
  <c r="A288"/>
  <c r="A22" i="3"/>
  <c r="A287" i="6"/>
  <c r="A21" i="3"/>
  <c r="A285" i="6"/>
  <c r="A19" i="3"/>
  <c r="A284" i="6"/>
  <c r="A18" i="3"/>
  <c r="H280" i="6"/>
  <c r="I4"/>
  <c r="C11"/>
  <c r="B11"/>
  <c r="D173"/>
  <c r="D267"/>
  <c r="B235"/>
  <c r="D235"/>
  <c r="C267"/>
  <c r="C268"/>
  <c r="C235"/>
  <c r="C236"/>
  <c r="D24" i="1"/>
  <c r="D25"/>
  <c r="G175" i="6"/>
  <c r="G237"/>
  <c r="G29"/>
  <c r="I29" s="1"/>
  <c r="G56"/>
  <c r="I56" s="1"/>
  <c r="G162"/>
  <c r="G255"/>
  <c r="C10" i="12"/>
  <c r="C11"/>
  <c r="C12"/>
  <c r="C13"/>
  <c r="D13"/>
  <c r="G268" i="6"/>
  <c r="H18" i="12"/>
  <c r="D12"/>
  <c r="G236" i="6" s="1"/>
  <c r="D11" i="12"/>
  <c r="G205" i="6" s="1"/>
  <c r="D9" i="12"/>
  <c r="G143" i="6" s="1"/>
  <c r="D6" i="12"/>
  <c r="G55" i="6" s="1"/>
  <c r="B10" i="19"/>
  <c r="B11"/>
  <c r="B12"/>
  <c r="B13"/>
  <c r="G19"/>
  <c r="C12"/>
  <c r="G46" i="16"/>
  <c r="D35"/>
  <c r="G25" i="14"/>
  <c r="F10" i="21"/>
  <c r="G10"/>
  <c r="I10"/>
  <c r="K10"/>
  <c r="F6"/>
  <c r="G6"/>
  <c r="I6"/>
  <c r="K6"/>
  <c r="L6"/>
  <c r="N6" s="1"/>
  <c r="O6" s="1"/>
  <c r="F86" i="6" s="1"/>
  <c r="F39" i="21"/>
  <c r="G39"/>
  <c r="L39" s="1"/>
  <c r="N39" s="1"/>
  <c r="O39" s="1"/>
  <c r="I39"/>
  <c r="K39"/>
  <c r="F18"/>
  <c r="G18"/>
  <c r="K18"/>
  <c r="L18"/>
  <c r="N18" s="1"/>
  <c r="O18" s="1"/>
  <c r="C26" i="20"/>
  <c r="B68" i="6" s="1"/>
  <c r="F16" i="21"/>
  <c r="G16"/>
  <c r="K16"/>
  <c r="C19" i="19"/>
  <c r="D21" s="1"/>
  <c r="G21" s="1"/>
  <c r="C20"/>
  <c r="D20"/>
  <c r="G20" s="1"/>
  <c r="E12" s="1"/>
  <c r="B202" i="8" s="1"/>
  <c r="F20" i="21"/>
  <c r="G20"/>
  <c r="L20" s="1"/>
  <c r="K20"/>
  <c r="F8"/>
  <c r="G8"/>
  <c r="I8"/>
  <c r="K8"/>
  <c r="F22"/>
  <c r="G22"/>
  <c r="K22"/>
  <c r="F34"/>
  <c r="G34"/>
  <c r="L34" s="1"/>
  <c r="N34" s="1"/>
  <c r="O34" s="1"/>
  <c r="I34"/>
  <c r="K34"/>
  <c r="F30"/>
  <c r="G30"/>
  <c r="L30" s="1"/>
  <c r="N30" s="1"/>
  <c r="O30" s="1"/>
  <c r="F31" i="6" s="1"/>
  <c r="I31" s="1"/>
  <c r="I30" i="21"/>
  <c r="K30"/>
  <c r="C25" i="20"/>
  <c r="B34" i="6" s="1"/>
  <c r="D34" s="1"/>
  <c r="C34"/>
  <c r="F28" i="21"/>
  <c r="G28"/>
  <c r="K28"/>
  <c r="F14"/>
  <c r="G14"/>
  <c r="L14" s="1"/>
  <c r="N14" s="1"/>
  <c r="O14" s="1"/>
  <c r="K14"/>
  <c r="C30" i="20"/>
  <c r="B191" i="6" s="1"/>
  <c r="C191" s="1"/>
  <c r="C32" i="20"/>
  <c r="B253" i="6" s="1"/>
  <c r="D23" i="16"/>
  <c r="D21"/>
  <c r="D19"/>
  <c r="D17"/>
  <c r="D15"/>
  <c r="D13"/>
  <c r="D11"/>
  <c r="D12" i="21"/>
  <c r="G12"/>
  <c r="F12"/>
  <c r="K12"/>
  <c r="L12"/>
  <c r="N12" s="1"/>
  <c r="O12" s="1"/>
  <c r="D10" i="4"/>
  <c r="D11"/>
  <c r="D23"/>
  <c r="D24"/>
  <c r="D25"/>
  <c r="D26"/>
  <c r="D27"/>
  <c r="D28"/>
  <c r="D29"/>
  <c r="D18"/>
  <c r="D19"/>
  <c r="D20"/>
  <c r="D21"/>
  <c r="D13"/>
  <c r="D14"/>
  <c r="D15"/>
  <c r="D16"/>
  <c r="D4"/>
  <c r="D5"/>
  <c r="D6"/>
  <c r="D7"/>
  <c r="D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J29" i="5"/>
  <c r="A52"/>
  <c r="B13"/>
  <c r="C13" s="1"/>
  <c r="B12"/>
  <c r="C12" s="1"/>
  <c r="B11"/>
  <c r="C11" s="1"/>
  <c r="B10"/>
  <c r="B9"/>
  <c r="B8"/>
  <c r="C8" s="1"/>
  <c r="B7"/>
  <c r="C7" s="1"/>
  <c r="B6"/>
  <c r="B5"/>
  <c r="C5" s="1"/>
  <c r="B62"/>
  <c r="B63"/>
  <c r="B64"/>
  <c r="D29"/>
  <c r="C9"/>
  <c r="C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B14"/>
  <c r="B73" i="26" s="1"/>
  <c r="H73" s="1"/>
  <c r="H77" s="1"/>
  <c r="B15" i="5"/>
  <c r="C15"/>
  <c r="C47" i="1"/>
  <c r="C48"/>
  <c r="B17" i="5" s="1"/>
  <c r="C17" s="1"/>
  <c r="B16"/>
  <c r="C16" s="1"/>
  <c r="C49" i="1"/>
  <c r="B18" i="5" s="1"/>
  <c r="C18" s="1"/>
  <c r="H24" i="11"/>
  <c r="E35"/>
  <c r="F35"/>
  <c r="E36"/>
  <c r="F36"/>
  <c r="E37"/>
  <c r="F37"/>
  <c r="H37" s="1"/>
  <c r="E38"/>
  <c r="F38"/>
  <c r="G38" s="1"/>
  <c r="E39"/>
  <c r="F39" s="1"/>
  <c r="H53"/>
  <c r="H54"/>
  <c r="E42"/>
  <c r="F42" s="1"/>
  <c r="H43"/>
  <c r="F15" s="1"/>
  <c r="H17"/>
  <c r="K37" i="21"/>
  <c r="K60"/>
  <c r="K59"/>
  <c r="K43"/>
  <c r="K41"/>
  <c r="K26"/>
  <c r="K24"/>
  <c r="F60"/>
  <c r="G60"/>
  <c r="L60" s="1"/>
  <c r="N60" s="1"/>
  <c r="O60" s="1"/>
  <c r="F59"/>
  <c r="G59"/>
  <c r="L59" s="1"/>
  <c r="F24"/>
  <c r="G24"/>
  <c r="L24" s="1"/>
  <c r="N24" s="1"/>
  <c r="O24" s="1"/>
  <c r="F26"/>
  <c r="G26"/>
  <c r="L26" s="1"/>
  <c r="N26" s="1"/>
  <c r="O26" s="1"/>
  <c r="F41"/>
  <c r="G41"/>
  <c r="L41"/>
  <c r="N41" s="1"/>
  <c r="O41" s="1"/>
  <c r="F49" i="11" s="1"/>
  <c r="H49" s="1"/>
  <c r="F43" i="21"/>
  <c r="G43"/>
  <c r="L43" s="1"/>
  <c r="N43" s="1"/>
  <c r="O43" s="1"/>
  <c r="F50" i="11" s="1"/>
  <c r="H50" s="1"/>
  <c r="G4" i="21"/>
  <c r="D37"/>
  <c r="J37"/>
  <c r="B37" i="1"/>
  <c r="B38" s="1"/>
  <c r="B39" s="1"/>
  <c r="D37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E42"/>
  <c r="E43" s="1"/>
  <c r="E44" s="1"/>
  <c r="B13" i="9" s="1"/>
  <c r="D44" i="1"/>
  <c r="F24"/>
  <c r="F25"/>
  <c r="H30" i="10" s="1"/>
  <c r="C46" i="16"/>
  <c r="C48"/>
  <c r="C47"/>
  <c r="F45"/>
  <c r="D46"/>
  <c r="G33"/>
  <c r="J33"/>
  <c r="F33"/>
  <c r="I33"/>
  <c r="E33"/>
  <c r="H33"/>
  <c r="G32"/>
  <c r="J32"/>
  <c r="F32"/>
  <c r="I32"/>
  <c r="E32"/>
  <c r="H32"/>
  <c r="G9"/>
  <c r="J9"/>
  <c r="G8"/>
  <c r="J8"/>
  <c r="H9"/>
  <c r="K9"/>
  <c r="F9"/>
  <c r="I9"/>
  <c r="H8"/>
  <c r="K8"/>
  <c r="F5" i="11"/>
  <c r="H36"/>
  <c r="H38"/>
  <c r="F8"/>
  <c r="G17"/>
  <c r="E4"/>
  <c r="H4"/>
  <c r="D5"/>
  <c r="E5" s="1"/>
  <c r="G10"/>
  <c r="H10"/>
  <c r="F32"/>
  <c r="G32"/>
  <c r="F31"/>
  <c r="G31"/>
  <c r="E2"/>
  <c r="G36"/>
  <c r="G5"/>
  <c r="G3"/>
  <c r="E3"/>
  <c r="J10" i="18"/>
  <c r="J20"/>
  <c r="C21" i="19"/>
  <c r="F10"/>
  <c r="D10"/>
  <c r="D11"/>
  <c r="E6"/>
  <c r="G6"/>
  <c r="D6"/>
  <c r="F6"/>
  <c r="E5"/>
  <c r="G5"/>
  <c r="D5"/>
  <c r="F5"/>
  <c r="A5" i="13"/>
  <c r="A6"/>
  <c r="A7"/>
  <c r="A10"/>
  <c r="A14"/>
  <c r="A19"/>
  <c r="A22"/>
  <c r="A26"/>
  <c r="A28"/>
  <c r="A30"/>
  <c r="A32"/>
  <c r="A34"/>
  <c r="A37"/>
  <c r="A39"/>
  <c r="A43"/>
  <c r="A46"/>
  <c r="A50"/>
  <c r="C51"/>
  <c r="J28" i="2"/>
  <c r="D28"/>
  <c r="G9"/>
  <c r="J9"/>
  <c r="F9"/>
  <c r="I9"/>
  <c r="E9"/>
  <c r="H9"/>
  <c r="G8"/>
  <c r="J8"/>
  <c r="F8"/>
  <c r="I8"/>
  <c r="E8"/>
  <c r="H8"/>
  <c r="A11"/>
  <c r="A12"/>
  <c r="A13"/>
  <c r="A14"/>
  <c r="A15"/>
  <c r="A16"/>
  <c r="A17"/>
  <c r="A18"/>
  <c r="A19"/>
  <c r="A20"/>
  <c r="A21"/>
  <c r="A22"/>
  <c r="A23"/>
  <c r="G129" i="10"/>
  <c r="B129"/>
  <c r="D129" s="1"/>
  <c r="C131"/>
  <c r="D131"/>
  <c r="C132"/>
  <c r="D132"/>
  <c r="B134"/>
  <c r="D134"/>
  <c r="C134"/>
  <c r="C135"/>
  <c r="C25" i="14"/>
  <c r="D27"/>
  <c r="I9" i="12"/>
  <c r="J9"/>
  <c r="G145" i="10" s="1"/>
  <c r="D146"/>
  <c r="G150"/>
  <c r="I150" s="1"/>
  <c r="E167" i="26" s="1"/>
  <c r="I151" i="10"/>
  <c r="E168" i="26"/>
  <c r="I152" i="10"/>
  <c r="E169" i="26"/>
  <c r="D153" i="10"/>
  <c r="F154"/>
  <c r="H154"/>
  <c r="D154"/>
  <c r="I154" s="1"/>
  <c r="E171" i="26" s="1"/>
  <c r="F155" i="10"/>
  <c r="H155"/>
  <c r="H157" s="1"/>
  <c r="D155"/>
  <c r="I155"/>
  <c r="E172" i="26" s="1"/>
  <c r="B9" i="9"/>
  <c r="B62"/>
  <c r="B63"/>
  <c r="G190" i="8"/>
  <c r="B190"/>
  <c r="D190"/>
  <c r="C192"/>
  <c r="D192"/>
  <c r="C193"/>
  <c r="D193"/>
  <c r="C26" i="14"/>
  <c r="F10" i="12"/>
  <c r="F11"/>
  <c r="G11"/>
  <c r="G206" i="8" s="1"/>
  <c r="D207"/>
  <c r="G211"/>
  <c r="I211" s="1"/>
  <c r="D167" i="26"/>
  <c r="I212" i="8"/>
  <c r="D168" i="26"/>
  <c r="I213" i="8"/>
  <c r="D169" i="26"/>
  <c r="D214" i="8"/>
  <c r="F215"/>
  <c r="H215"/>
  <c r="D215"/>
  <c r="F216"/>
  <c r="H216"/>
  <c r="D216"/>
  <c r="B11" i="7"/>
  <c r="C11" s="1"/>
  <c r="B62"/>
  <c r="B63"/>
  <c r="B64"/>
  <c r="C70" i="10"/>
  <c r="D70"/>
  <c r="G118"/>
  <c r="B116"/>
  <c r="B73"/>
  <c r="C73" s="1"/>
  <c r="C74" s="1"/>
  <c r="B68"/>
  <c r="G71"/>
  <c r="G68"/>
  <c r="B55"/>
  <c r="B38"/>
  <c r="C38" s="1"/>
  <c r="C39"/>
  <c r="G34"/>
  <c r="B34"/>
  <c r="A165"/>
  <c r="A39" i="3"/>
  <c r="A164" i="10"/>
  <c r="A38" i="3"/>
  <c r="A163" i="10"/>
  <c r="A37" i="3"/>
  <c r="A162" i="10"/>
  <c r="A36" i="3"/>
  <c r="I111" i="10"/>
  <c r="C116"/>
  <c r="C117"/>
  <c r="D116"/>
  <c r="D118"/>
  <c r="I119"/>
  <c r="I120"/>
  <c r="D121"/>
  <c r="F122"/>
  <c r="H122"/>
  <c r="D122"/>
  <c r="F123"/>
  <c r="H123"/>
  <c r="I123" s="1"/>
  <c r="D123"/>
  <c r="D68"/>
  <c r="D73"/>
  <c r="C80"/>
  <c r="C21"/>
  <c r="D21"/>
  <c r="C22"/>
  <c r="C23"/>
  <c r="D23"/>
  <c r="C24"/>
  <c r="C25"/>
  <c r="D25"/>
  <c r="C27"/>
  <c r="D27"/>
  <c r="D28"/>
  <c r="F32"/>
  <c r="D32"/>
  <c r="D33"/>
  <c r="I36"/>
  <c r="D38"/>
  <c r="I43"/>
  <c r="C47"/>
  <c r="D47"/>
  <c r="C48"/>
  <c r="C49"/>
  <c r="D49"/>
  <c r="C50"/>
  <c r="D50"/>
  <c r="I57"/>
  <c r="C58"/>
  <c r="D58"/>
  <c r="I59"/>
  <c r="I60"/>
  <c r="H61"/>
  <c r="I61" s="1"/>
  <c r="F62"/>
  <c r="H62"/>
  <c r="D62"/>
  <c r="J8" i="12"/>
  <c r="G86" i="10" s="1"/>
  <c r="J7" i="12"/>
  <c r="G68" i="8"/>
  <c r="B68"/>
  <c r="C70"/>
  <c r="D70"/>
  <c r="C80"/>
  <c r="D80"/>
  <c r="D87"/>
  <c r="I110"/>
  <c r="B115"/>
  <c r="C115"/>
  <c r="D115"/>
  <c r="C116"/>
  <c r="D117"/>
  <c r="I118"/>
  <c r="I119"/>
  <c r="D120"/>
  <c r="F121"/>
  <c r="H121"/>
  <c r="D121"/>
  <c r="F122"/>
  <c r="H122"/>
  <c r="D122"/>
  <c r="G128"/>
  <c r="B128"/>
  <c r="D128" s="1"/>
  <c r="C130"/>
  <c r="D130"/>
  <c r="C131"/>
  <c r="D131"/>
  <c r="B142"/>
  <c r="C142"/>
  <c r="D142"/>
  <c r="C143"/>
  <c r="D144"/>
  <c r="G148"/>
  <c r="I148" s="1"/>
  <c r="I149"/>
  <c r="I150"/>
  <c r="D151"/>
  <c r="F152"/>
  <c r="H152"/>
  <c r="I152" s="1"/>
  <c r="D152"/>
  <c r="F153"/>
  <c r="H153"/>
  <c r="D153"/>
  <c r="C21"/>
  <c r="D21"/>
  <c r="C22"/>
  <c r="C23"/>
  <c r="D23"/>
  <c r="C24"/>
  <c r="C25"/>
  <c r="D25"/>
  <c r="C27"/>
  <c r="D27"/>
  <c r="F28"/>
  <c r="D28"/>
  <c r="F32"/>
  <c r="D32"/>
  <c r="D33"/>
  <c r="G34"/>
  <c r="B34"/>
  <c r="D34"/>
  <c r="I36"/>
  <c r="I43"/>
  <c r="C47"/>
  <c r="D47"/>
  <c r="C48"/>
  <c r="C49"/>
  <c r="D49"/>
  <c r="C50"/>
  <c r="D50"/>
  <c r="B55"/>
  <c r="I57"/>
  <c r="C58"/>
  <c r="D58"/>
  <c r="I59"/>
  <c r="I60"/>
  <c r="H61"/>
  <c r="I61" s="1"/>
  <c r="F62"/>
  <c r="H62"/>
  <c r="D62"/>
  <c r="J29" i="9"/>
  <c r="B10"/>
  <c r="C10" s="1"/>
  <c r="B8"/>
  <c r="C8" s="1"/>
  <c r="B7"/>
  <c r="B6"/>
  <c r="C6" s="1"/>
  <c r="B5"/>
  <c r="A52"/>
  <c r="C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B6" i="3"/>
  <c r="C161" i="8"/>
  <c r="C162"/>
  <c r="B164"/>
  <c r="B173"/>
  <c r="F182"/>
  <c r="F183"/>
  <c r="F184"/>
  <c r="B159"/>
  <c r="D159"/>
  <c r="D161"/>
  <c r="D162"/>
  <c r="D175"/>
  <c r="D182"/>
  <c r="I182" s="1"/>
  <c r="D183"/>
  <c r="D184"/>
  <c r="G159"/>
  <c r="G10" i="12"/>
  <c r="G174" i="8" s="1"/>
  <c r="G179"/>
  <c r="I179" s="1"/>
  <c r="I180"/>
  <c r="I181"/>
  <c r="H183"/>
  <c r="H186" s="1"/>
  <c r="H184"/>
  <c r="I184"/>
  <c r="E24" i="20"/>
  <c r="G24"/>
  <c r="D24"/>
  <c r="F24"/>
  <c r="E23"/>
  <c r="G23"/>
  <c r="D23"/>
  <c r="F23"/>
  <c r="D6"/>
  <c r="F6"/>
  <c r="E6"/>
  <c r="G6"/>
  <c r="D5"/>
  <c r="F5"/>
  <c r="E5"/>
  <c r="G5"/>
  <c r="J29" i="7"/>
  <c r="A52"/>
  <c r="B5"/>
  <c r="C5" s="1"/>
  <c r="B8"/>
  <c r="B9"/>
  <c r="C9" s="1"/>
  <c r="B10"/>
  <c r="A6"/>
  <c r="A7"/>
  <c r="A8"/>
  <c r="A9"/>
  <c r="A10"/>
  <c r="D29"/>
  <c r="A11"/>
  <c r="A12"/>
  <c r="A13"/>
  <c r="A14"/>
  <c r="A15"/>
  <c r="A16"/>
  <c r="A17"/>
  <c r="A18"/>
  <c r="A19"/>
  <c r="A20"/>
  <c r="A21"/>
  <c r="A22"/>
  <c r="A23"/>
  <c r="A24"/>
  <c r="A25"/>
  <c r="B12"/>
  <c r="C12" s="1"/>
  <c r="H155" i="8"/>
  <c r="A225"/>
  <c r="A31" i="3"/>
  <c r="A227" i="8"/>
  <c r="A33" i="3"/>
  <c r="A226" i="8"/>
  <c r="A32" i="3"/>
  <c r="A223" i="8"/>
  <c r="A29" i="3"/>
  <c r="A222" i="8"/>
  <c r="A28" i="3"/>
  <c r="G5" i="12"/>
  <c r="J5"/>
  <c r="F5"/>
  <c r="I5"/>
  <c r="E5"/>
  <c r="H5"/>
  <c r="G4"/>
  <c r="J4"/>
  <c r="F4"/>
  <c r="I4"/>
  <c r="E4"/>
  <c r="H4"/>
  <c r="F3"/>
  <c r="I3"/>
  <c r="H19" i="13"/>
  <c r="K19"/>
  <c r="M19" s="1"/>
  <c r="H16"/>
  <c r="K16" s="1"/>
  <c r="H12"/>
  <c r="K12" s="1"/>
  <c r="M12" s="1"/>
  <c r="G24" i="25"/>
  <c r="J24"/>
  <c r="H4" i="13"/>
  <c r="K4"/>
  <c r="N4" s="1"/>
  <c r="G32" i="25"/>
  <c r="J32" s="1"/>
  <c r="G31"/>
  <c r="J31" s="1"/>
  <c r="M3" i="13"/>
  <c r="H13"/>
  <c r="K13"/>
  <c r="M13" s="1"/>
  <c r="H11"/>
  <c r="K11" s="1"/>
  <c r="H10"/>
  <c r="K10" s="1"/>
  <c r="M10" s="1"/>
  <c r="H7"/>
  <c r="M7"/>
  <c r="H6"/>
  <c r="K6"/>
  <c r="M6" s="1"/>
  <c r="H5"/>
  <c r="K5" s="1"/>
  <c r="M5" s="1"/>
  <c r="M52" s="1"/>
  <c r="H17"/>
  <c r="H15"/>
  <c r="K15" s="1"/>
  <c r="M15"/>
  <c r="H124" i="6"/>
  <c r="H125" i="10"/>
  <c r="B222" i="26"/>
  <c r="G69"/>
  <c r="A78"/>
  <c r="G78"/>
  <c r="C85" i="10"/>
  <c r="G87"/>
  <c r="G100" i="6"/>
  <c r="C86" i="10"/>
  <c r="D24" i="16"/>
  <c r="K17" i="13"/>
  <c r="M17" s="1"/>
  <c r="G22" i="25"/>
  <c r="J22" s="1"/>
  <c r="D8" i="17"/>
  <c r="D18"/>
  <c r="F18" s="1"/>
  <c r="J18" s="1"/>
  <c r="D25"/>
  <c r="D27"/>
  <c r="F27" s="1"/>
  <c r="D31"/>
  <c r="F31" s="1"/>
  <c r="J31" s="1"/>
  <c r="D33"/>
  <c r="F33"/>
  <c r="J33" s="1"/>
  <c r="D35"/>
  <c r="B8" i="18"/>
  <c r="F8" s="1"/>
  <c r="J8" s="1"/>
  <c r="G35" i="16"/>
  <c r="B79" i="8" s="1"/>
  <c r="D79"/>
  <c r="B223" i="26"/>
  <c r="B224"/>
  <c r="B225"/>
  <c r="B226"/>
  <c r="H75"/>
  <c r="J17" i="14"/>
  <c r="G19"/>
  <c r="D17"/>
  <c r="B105" i="6"/>
  <c r="D21" i="14"/>
  <c r="D105" i="6"/>
  <c r="B227" i="26"/>
  <c r="B228"/>
  <c r="B229"/>
  <c r="B230"/>
  <c r="B231"/>
  <c r="D48" i="11"/>
  <c r="F13"/>
  <c r="H55"/>
  <c r="E24" i="1"/>
  <c r="E25"/>
  <c r="G21" i="16" s="1"/>
  <c r="G71" i="8"/>
  <c r="G131"/>
  <c r="H13" i="11"/>
  <c r="G13"/>
  <c r="B78" i="6"/>
  <c r="D78" s="1"/>
  <c r="G37" i="16"/>
  <c r="B146" i="8"/>
  <c r="J37" i="16"/>
  <c r="B148" i="10"/>
  <c r="J36" i="16"/>
  <c r="B109" i="10"/>
  <c r="G39" i="16"/>
  <c r="B209" i="8"/>
  <c r="G36" i="16"/>
  <c r="B108" i="8"/>
  <c r="G38" i="16"/>
  <c r="B177" i="8"/>
  <c r="D84" i="6"/>
  <c r="C84"/>
  <c r="C85" s="1"/>
  <c r="D85" i="8"/>
  <c r="C85"/>
  <c r="C144" i="10"/>
  <c r="D144"/>
  <c r="D205" i="8"/>
  <c r="C205"/>
  <c r="C206" s="1"/>
  <c r="D254" i="6"/>
  <c r="C254"/>
  <c r="J26" i="25"/>
  <c r="B137" i="10"/>
  <c r="B106"/>
  <c r="C10" i="7"/>
  <c r="J16" i="14"/>
  <c r="B76" i="10" s="1"/>
  <c r="G20" i="14"/>
  <c r="D20"/>
  <c r="G18"/>
  <c r="G15"/>
  <c r="B41" i="8"/>
  <c r="D18" i="14"/>
  <c r="B136" i="6"/>
  <c r="D22" i="14"/>
  <c r="J15"/>
  <c r="B41" i="10" s="1"/>
  <c r="G17" i="14"/>
  <c r="B105" i="8" s="1"/>
  <c r="D16" i="14"/>
  <c r="B75" i="6" s="1"/>
  <c r="D15" i="14"/>
  <c r="B40" i="6" s="1"/>
  <c r="J18" i="14"/>
  <c r="G16"/>
  <c r="B76" i="8"/>
  <c r="D19" i="14"/>
  <c r="B65" i="5"/>
  <c r="D191" i="6"/>
  <c r="C105"/>
  <c r="D68" i="8"/>
  <c r="B12" i="9"/>
  <c r="C12" s="1"/>
  <c r="F38" i="6"/>
  <c r="F196"/>
  <c r="F135" i="10"/>
  <c r="F134" i="6"/>
  <c r="F165"/>
  <c r="F103"/>
  <c r="F39" i="10"/>
  <c r="F104"/>
  <c r="F74"/>
  <c r="B201" i="6"/>
  <c r="B232"/>
  <c r="H93"/>
  <c r="I90"/>
  <c r="I70" i="26"/>
  <c r="E67"/>
  <c r="E70"/>
  <c r="F11" i="28"/>
  <c r="F5" i="6"/>
  <c r="F5" i="8"/>
  <c r="I5" i="28"/>
  <c r="F5" i="10"/>
  <c r="J35" i="16"/>
  <c r="B79" i="10" s="1"/>
  <c r="D79" s="1"/>
  <c r="H76" i="26"/>
  <c r="F34" i="6"/>
  <c r="I34" s="1"/>
  <c r="G16" i="16"/>
  <c r="G193" i="8"/>
  <c r="G117"/>
  <c r="G162"/>
  <c r="D164"/>
  <c r="C164"/>
  <c r="C165" s="1"/>
  <c r="F165" s="1"/>
  <c r="D38" i="1"/>
  <c r="B7" i="7" s="1"/>
  <c r="C7" s="1"/>
  <c r="B6"/>
  <c r="C115" i="6"/>
  <c r="C116" s="1"/>
  <c r="D115"/>
  <c r="D221"/>
  <c r="F213"/>
  <c r="F182"/>
  <c r="I182" s="1"/>
  <c r="F276"/>
  <c r="F244"/>
  <c r="I244" s="1"/>
  <c r="F120" i="8"/>
  <c r="I120" s="1"/>
  <c r="F33"/>
  <c r="F121" i="10"/>
  <c r="I121"/>
  <c r="F151" i="8"/>
  <c r="I151"/>
  <c r="F90" i="10"/>
  <c r="I90"/>
  <c r="F89" i="6"/>
  <c r="I89"/>
  <c r="F33" i="10"/>
  <c r="F151" i="6"/>
  <c r="I151" s="1"/>
  <c r="F120"/>
  <c r="F153" i="10"/>
  <c r="I153" s="1"/>
  <c r="E170" i="26" s="1"/>
  <c r="F214" i="8"/>
  <c r="I214" s="1"/>
  <c r="F90"/>
  <c r="I90"/>
  <c r="C8" i="7"/>
  <c r="D12" i="19"/>
  <c r="J15" i="16"/>
  <c r="J12"/>
  <c r="J11"/>
  <c r="G132" i="10"/>
  <c r="G58"/>
  <c r="C72" i="6"/>
  <c r="C73" s="1"/>
  <c r="F73" s="1"/>
  <c r="D72"/>
  <c r="C146"/>
  <c r="C147" s="1"/>
  <c r="D146"/>
  <c r="I8"/>
  <c r="D6" i="3"/>
  <c r="P37" i="13"/>
  <c r="Q37"/>
  <c r="M37"/>
  <c r="O37"/>
  <c r="P23"/>
  <c r="Q23"/>
  <c r="O23"/>
  <c r="N23"/>
  <c r="M23"/>
  <c r="Q20"/>
  <c r="O20"/>
  <c r="P20"/>
  <c r="N20"/>
  <c r="M20"/>
  <c r="N11"/>
  <c r="Q11"/>
  <c r="P11"/>
  <c r="M11"/>
  <c r="O11"/>
  <c r="Q8"/>
  <c r="O8"/>
  <c r="M8"/>
  <c r="N8"/>
  <c r="H42" i="11"/>
  <c r="F14"/>
  <c r="G42"/>
  <c r="H39"/>
  <c r="G39"/>
  <c r="L22" i="21"/>
  <c r="N22" s="1"/>
  <c r="O22" s="1"/>
  <c r="F162" i="6"/>
  <c r="I162" s="1"/>
  <c r="F269"/>
  <c r="F255"/>
  <c r="I255" s="1"/>
  <c r="C159" i="26" s="1"/>
  <c r="F67" i="6"/>
  <c r="F68" i="10"/>
  <c r="I68" s="1"/>
  <c r="F175" i="8"/>
  <c r="E11" i="19"/>
  <c r="B170" i="8" s="1"/>
  <c r="C11" i="19"/>
  <c r="B170" i="6" s="1"/>
  <c r="C7" i="19"/>
  <c r="B51" i="6" s="1"/>
  <c r="D54"/>
  <c r="C55"/>
  <c r="I213"/>
  <c r="D41" i="16"/>
  <c r="B271" i="6" s="1"/>
  <c r="Q48" i="13"/>
  <c r="P48"/>
  <c r="M48"/>
  <c r="Q29"/>
  <c r="P29"/>
  <c r="O29"/>
  <c r="Q19"/>
  <c r="P19"/>
  <c r="O19"/>
  <c r="Q10"/>
  <c r="N10"/>
  <c r="O10"/>
  <c r="P10"/>
  <c r="F97" i="6"/>
  <c r="I97" s="1"/>
  <c r="C56" i="10"/>
  <c r="C8" i="19"/>
  <c r="H5" i="11"/>
  <c r="C9" i="19"/>
  <c r="B112" i="6" s="1"/>
  <c r="C10" i="19"/>
  <c r="B139" i="6" s="1"/>
  <c r="C13" i="19"/>
  <c r="B14"/>
  <c r="C14"/>
  <c r="B264" i="6" s="1"/>
  <c r="D257"/>
  <c r="C257"/>
  <c r="C258" s="1"/>
  <c r="F258" s="1"/>
  <c r="I258" s="1"/>
  <c r="P56" i="13"/>
  <c r="P61" s="1"/>
  <c r="N29"/>
  <c r="B12" i="18"/>
  <c r="B102" i="8"/>
  <c r="B195"/>
  <c r="B38"/>
  <c r="B73"/>
  <c r="B133"/>
  <c r="P45" i="13"/>
  <c r="N45"/>
  <c r="O45"/>
  <c r="P39"/>
  <c r="M39"/>
  <c r="O39"/>
  <c r="F97" i="8"/>
  <c r="I97" s="1"/>
  <c r="B64" i="9"/>
  <c r="C50" i="1"/>
  <c r="B19" i="5" s="1"/>
  <c r="C10"/>
  <c r="N20" i="21"/>
  <c r="O20" s="1"/>
  <c r="D7" i="12"/>
  <c r="D10"/>
  <c r="G174" i="6"/>
  <c r="J6" i="12"/>
  <c r="G56" i="10" s="1"/>
  <c r="G6" i="12"/>
  <c r="G56" i="8" s="1"/>
  <c r="D8" i="12"/>
  <c r="G7"/>
  <c r="G86" i="8" s="1"/>
  <c r="G8" i="12"/>
  <c r="G116" i="8"/>
  <c r="G9" i="12"/>
  <c r="G143" i="8"/>
  <c r="D204" i="6"/>
  <c r="H155"/>
  <c r="I214"/>
  <c r="O48" i="13"/>
  <c r="M29"/>
  <c r="N19"/>
  <c r="N31"/>
  <c r="M31"/>
  <c r="Q31"/>
  <c r="Q27"/>
  <c r="O27"/>
  <c r="M27"/>
  <c r="Q24"/>
  <c r="N24"/>
  <c r="D34" i="10"/>
  <c r="B65" i="7"/>
  <c r="D26" i="14"/>
  <c r="D25"/>
  <c r="H35" i="11"/>
  <c r="G35"/>
  <c r="D36" i="16"/>
  <c r="B108" i="6" s="1"/>
  <c r="D40" i="16"/>
  <c r="B239" i="6" s="1"/>
  <c r="D34" i="16"/>
  <c r="D38"/>
  <c r="B177" i="6"/>
  <c r="D39" i="16"/>
  <c r="B208" i="6"/>
  <c r="D226"/>
  <c r="C226"/>
  <c r="C227" s="1"/>
  <c r="F227" s="1"/>
  <c r="D159"/>
  <c r="F35" i="17"/>
  <c r="J35"/>
  <c r="K61" i="13"/>
  <c r="Q55"/>
  <c r="Q61" s="1"/>
  <c r="Q42"/>
  <c r="P42"/>
  <c r="O42"/>
  <c r="N42"/>
  <c r="Q36"/>
  <c r="P36"/>
  <c r="O36"/>
  <c r="Q16"/>
  <c r="O16"/>
  <c r="M16"/>
  <c r="P5"/>
  <c r="O5"/>
  <c r="N56"/>
  <c r="O56"/>
  <c r="O61" s="1"/>
  <c r="M56"/>
  <c r="M61" s="1"/>
  <c r="G11" i="28"/>
  <c r="G6" i="10"/>
  <c r="G11" s="1"/>
  <c r="I122"/>
  <c r="D170" i="26"/>
  <c r="N59" i="21"/>
  <c r="O59" s="1"/>
  <c r="I122" i="6"/>
  <c r="I215"/>
  <c r="L32" i="21"/>
  <c r="Q43" i="13"/>
  <c r="P43"/>
  <c r="Q40"/>
  <c r="P40"/>
  <c r="N40"/>
  <c r="Q34"/>
  <c r="N34"/>
  <c r="P34"/>
  <c r="Q28"/>
  <c r="P28"/>
  <c r="M28"/>
  <c r="Q18"/>
  <c r="O18"/>
  <c r="P18"/>
  <c r="P13"/>
  <c r="O13"/>
  <c r="N7"/>
  <c r="P7"/>
  <c r="Q4"/>
  <c r="O4"/>
  <c r="P4"/>
  <c r="G144" i="6"/>
  <c r="G193"/>
  <c r="I120"/>
  <c r="I8" i="10"/>
  <c r="Q44" i="13"/>
  <c r="P44"/>
  <c r="Q35"/>
  <c r="O35"/>
  <c r="Q32"/>
  <c r="P32"/>
  <c r="Q26"/>
  <c r="M26"/>
  <c r="N15"/>
  <c r="O15"/>
  <c r="Q12"/>
  <c r="O12"/>
  <c r="N3"/>
  <c r="Q3"/>
  <c r="Q58"/>
  <c r="N58"/>
  <c r="D34" i="4"/>
  <c r="D35"/>
  <c r="D36"/>
  <c r="D37"/>
  <c r="D38"/>
  <c r="D39"/>
  <c r="D40"/>
  <c r="H7" i="6"/>
  <c r="H11" s="1"/>
  <c r="G9" i="19"/>
  <c r="B113" i="10" s="1"/>
  <c r="G8" i="19"/>
  <c r="B82" i="10" s="1"/>
  <c r="D38" i="8"/>
  <c r="C38"/>
  <c r="Q52" i="13"/>
  <c r="Q62" s="1"/>
  <c r="G34" i="16"/>
  <c r="B44" i="8" s="1"/>
  <c r="B43" i="6"/>
  <c r="J34" i="16"/>
  <c r="B44" i="10"/>
  <c r="B65" i="9"/>
  <c r="C133" i="8"/>
  <c r="D133"/>
  <c r="D102"/>
  <c r="C103"/>
  <c r="F103"/>
  <c r="C102"/>
  <c r="F11" i="6"/>
  <c r="C6" i="3" s="1"/>
  <c r="I5" i="6"/>
  <c r="D201"/>
  <c r="C201"/>
  <c r="B66" i="5"/>
  <c r="B136" i="8"/>
  <c r="B167"/>
  <c r="B198"/>
  <c r="C209"/>
  <c r="D209"/>
  <c r="N52" i="13"/>
  <c r="N61"/>
  <c r="I67" i="6"/>
  <c r="G85"/>
  <c r="G116"/>
  <c r="D73" i="8"/>
  <c r="C73"/>
  <c r="F11" i="10"/>
  <c r="K6" i="3" s="1"/>
  <c r="I5" i="10"/>
  <c r="E45" i="1"/>
  <c r="B14" i="9" s="1"/>
  <c r="C14" s="1"/>
  <c r="C106" i="6"/>
  <c r="C106" i="10"/>
  <c r="D106"/>
  <c r="C109"/>
  <c r="D109"/>
  <c r="I7" i="6"/>
  <c r="C208"/>
  <c r="D208"/>
  <c r="B14" i="18"/>
  <c r="J14" s="1"/>
  <c r="J16" s="1"/>
  <c r="J12"/>
  <c r="F12"/>
  <c r="G14" i="11"/>
  <c r="H14"/>
  <c r="C6" i="7"/>
  <c r="B229" i="6"/>
  <c r="B260"/>
  <c r="B167"/>
  <c r="B198"/>
  <c r="C136"/>
  <c r="D136"/>
  <c r="D137" i="10"/>
  <c r="C137"/>
  <c r="C177" i="8"/>
  <c r="D177"/>
  <c r="D148" i="10"/>
  <c r="C148"/>
  <c r="O52" i="13"/>
  <c r="O62" s="1"/>
  <c r="I6" i="10"/>
  <c r="C177" i="6"/>
  <c r="D177"/>
  <c r="B66" i="7"/>
  <c r="C51" i="1"/>
  <c r="C52" s="1"/>
  <c r="C195" i="8"/>
  <c r="D195"/>
  <c r="E8" i="19"/>
  <c r="B82" i="8" s="1"/>
  <c r="E10" i="19"/>
  <c r="B139" i="8"/>
  <c r="D139" s="1"/>
  <c r="E9" i="19"/>
  <c r="B112" i="8"/>
  <c r="C112" s="1"/>
  <c r="C113" s="1"/>
  <c r="F113" s="1"/>
  <c r="I113" s="1"/>
  <c r="E7" i="19"/>
  <c r="B52" i="8"/>
  <c r="C52" s="1"/>
  <c r="F191" i="6"/>
  <c r="F11" i="8"/>
  <c r="G6" i="3" s="1"/>
  <c r="I5" i="8"/>
  <c r="D232" i="6"/>
  <c r="C232"/>
  <c r="D76" i="8"/>
  <c r="C76"/>
  <c r="D41"/>
  <c r="C41"/>
  <c r="G8" i="25"/>
  <c r="G103" i="8" s="1"/>
  <c r="J7" i="25"/>
  <c r="G74" i="10" s="1"/>
  <c r="I74" s="1"/>
  <c r="D7" i="25"/>
  <c r="G73" i="6" s="1"/>
  <c r="D6" i="25"/>
  <c r="G38" i="6" s="1"/>
  <c r="J8" i="25"/>
  <c r="G6"/>
  <c r="G39" i="8" s="1"/>
  <c r="I39" s="1"/>
  <c r="G7" i="25"/>
  <c r="G74" i="8" s="1"/>
  <c r="D8" i="25"/>
  <c r="D9"/>
  <c r="C108" i="8"/>
  <c r="D108"/>
  <c r="C146"/>
  <c r="C147" s="1"/>
  <c r="D146"/>
  <c r="C42"/>
  <c r="F42"/>
  <c r="I42" s="1"/>
  <c r="C77"/>
  <c r="F77"/>
  <c r="I77" s="1"/>
  <c r="D52"/>
  <c r="B20" i="5"/>
  <c r="C20" s="1"/>
  <c r="C260" i="6"/>
  <c r="D260"/>
  <c r="F14" i="18"/>
  <c r="I191" i="6"/>
  <c r="C167" i="8"/>
  <c r="D167"/>
  <c r="D44" i="10"/>
  <c r="C44"/>
  <c r="G103" i="6"/>
  <c r="I103" s="1"/>
  <c r="G134"/>
  <c r="D112" i="8"/>
  <c r="C229" i="6"/>
  <c r="D229"/>
  <c r="C110" i="10"/>
  <c r="C107"/>
  <c r="F107"/>
  <c r="I107" s="1"/>
  <c r="N62" i="13"/>
  <c r="C136" i="8"/>
  <c r="D136"/>
  <c r="B67" i="5"/>
  <c r="C202" i="6"/>
  <c r="F202" s="1"/>
  <c r="I202" s="1"/>
  <c r="D43"/>
  <c r="C43"/>
  <c r="C109" i="8"/>
  <c r="C139"/>
  <c r="C196"/>
  <c r="F196"/>
  <c r="C178" i="6"/>
  <c r="C178" i="8"/>
  <c r="C198" i="6"/>
  <c r="D198"/>
  <c r="D217" s="1"/>
  <c r="D12" i="3" s="1"/>
  <c r="B217" i="6"/>
  <c r="B12" i="3"/>
  <c r="C209" i="6"/>
  <c r="E46" i="1"/>
  <c r="C74" i="8"/>
  <c r="F74" s="1"/>
  <c r="C210"/>
  <c r="B66" i="9"/>
  <c r="D44" i="8"/>
  <c r="C44"/>
  <c r="C113" i="10"/>
  <c r="C233" i="6"/>
  <c r="F233"/>
  <c r="I233" s="1"/>
  <c r="B81"/>
  <c r="B67" i="7"/>
  <c r="C149" i="10"/>
  <c r="C138"/>
  <c r="F138" s="1"/>
  <c r="I138" s="1"/>
  <c r="C137" i="6"/>
  <c r="F137" s="1"/>
  <c r="I137" s="1"/>
  <c r="C167"/>
  <c r="D167"/>
  <c r="I38"/>
  <c r="F106"/>
  <c r="I106" s="1"/>
  <c r="D198" i="8"/>
  <c r="C198"/>
  <c r="C134"/>
  <c r="F134"/>
  <c r="C39"/>
  <c r="F39"/>
  <c r="C230" i="6"/>
  <c r="F230"/>
  <c r="I230" s="1"/>
  <c r="C199" i="8"/>
  <c r="F199"/>
  <c r="I199" s="1"/>
  <c r="C114" i="10"/>
  <c r="F114" s="1"/>
  <c r="B68" i="5"/>
  <c r="C6" i="26"/>
  <c r="C12"/>
  <c r="I134" i="6"/>
  <c r="B67" i="9"/>
  <c r="C168" i="8"/>
  <c r="F168"/>
  <c r="I168" s="1"/>
  <c r="C168" i="6"/>
  <c r="F168" s="1"/>
  <c r="B68" i="7"/>
  <c r="C81" i="6"/>
  <c r="D81"/>
  <c r="C82"/>
  <c r="F82" s="1"/>
  <c r="I82" s="1"/>
  <c r="E47" i="1"/>
  <c r="B16" i="9" s="1"/>
  <c r="C16" s="1"/>
  <c r="B15"/>
  <c r="C15" s="1"/>
  <c r="C199" i="6"/>
  <c r="F199"/>
  <c r="I199" s="1"/>
  <c r="C140" i="8"/>
  <c r="F140"/>
  <c r="I140" s="1"/>
  <c r="C137"/>
  <c r="F137"/>
  <c r="I137" s="1"/>
  <c r="C261" i="6"/>
  <c r="F261"/>
  <c r="I261" s="1"/>
  <c r="B69" i="7"/>
  <c r="B68" i="9"/>
  <c r="E48" i="1"/>
  <c r="B17" i="9" s="1"/>
  <c r="C17" s="1"/>
  <c r="B69" i="5"/>
  <c r="C217" i="6"/>
  <c r="B70" i="5"/>
  <c r="B69" i="9"/>
  <c r="B70" i="7"/>
  <c r="E49" i="1"/>
  <c r="B18" i="9" s="1"/>
  <c r="C18" s="1"/>
  <c r="B71" i="7"/>
  <c r="B71" i="5"/>
  <c r="E50" i="1"/>
  <c r="B19" i="9" s="1"/>
  <c r="C19" s="1"/>
  <c r="B70"/>
  <c r="B71"/>
  <c r="B72" i="7"/>
  <c r="B72" i="5"/>
  <c r="E51" i="1"/>
  <c r="B20" i="9" s="1"/>
  <c r="C20" s="1"/>
  <c r="B73" i="5"/>
  <c r="E52" i="1"/>
  <c r="B21" i="9" s="1"/>
  <c r="C21" s="1"/>
  <c r="B72"/>
  <c r="B73" i="7"/>
  <c r="B74"/>
  <c r="E53" i="1"/>
  <c r="E54" s="1"/>
  <c r="B73" i="9"/>
  <c r="B74" i="5"/>
  <c r="B22" i="9"/>
  <c r="C22" s="1"/>
  <c r="B74"/>
  <c r="Q7" i="7" l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B23" i="9"/>
  <c r="C23" s="1"/>
  <c r="E55" i="1"/>
  <c r="C83" i="8"/>
  <c r="F83" s="1"/>
  <c r="I83" s="1"/>
  <c r="D82"/>
  <c r="C82"/>
  <c r="B21" i="5"/>
  <c r="C21" s="1"/>
  <c r="C53" i="1"/>
  <c r="C13" i="9"/>
  <c r="D73" i="26"/>
  <c r="J73" s="1"/>
  <c r="C19" i="5"/>
  <c r="H64" i="10"/>
  <c r="I30"/>
  <c r="D45" i="1"/>
  <c r="B13" i="7"/>
  <c r="G206" i="6"/>
  <c r="G269"/>
  <c r="G117"/>
  <c r="G57"/>
  <c r="G131"/>
  <c r="G70"/>
  <c r="C28" i="20"/>
  <c r="C27"/>
  <c r="C29"/>
  <c r="B160" i="6" s="1"/>
  <c r="C31" i="20"/>
  <c r="B222" i="6" s="1"/>
  <c r="D22" i="16"/>
  <c r="E22" s="1"/>
  <c r="G239" i="6" s="1"/>
  <c r="D20" i="16"/>
  <c r="E20" s="1"/>
  <c r="G208" i="6" s="1"/>
  <c r="D18" i="16"/>
  <c r="E18" s="1"/>
  <c r="G177" i="6" s="1"/>
  <c r="D16" i="16"/>
  <c r="E16" s="1"/>
  <c r="G146" i="6" s="1"/>
  <c r="D14" i="16"/>
  <c r="E14" s="1"/>
  <c r="G108" i="6" s="1"/>
  <c r="D12" i="16"/>
  <c r="E12" s="1"/>
  <c r="G78" i="6" s="1"/>
  <c r="D10" i="16"/>
  <c r="E10" s="1"/>
  <c r="G43" i="6" s="1"/>
  <c r="B4" i="18"/>
  <c r="G86" i="6"/>
  <c r="D25" i="16"/>
  <c r="B4" i="17"/>
  <c r="B70" i="6"/>
  <c r="G224"/>
  <c r="B29" i="18"/>
  <c r="D10" i="17"/>
  <c r="D16"/>
  <c r="F16" s="1"/>
  <c r="J16" s="1"/>
  <c r="D14"/>
  <c r="F14" s="1"/>
  <c r="J14" s="1"/>
  <c r="H94" i="10"/>
  <c r="I91"/>
  <c r="G6" i="8"/>
  <c r="G6" i="6"/>
  <c r="D11" i="28"/>
  <c r="D8" i="8"/>
  <c r="I8" i="28"/>
  <c r="I74" i="8"/>
  <c r="C53"/>
  <c r="F53" s="1"/>
  <c r="I53" s="1"/>
  <c r="F57" i="6"/>
  <c r="I57" s="1"/>
  <c r="F58" i="10"/>
  <c r="I58" s="1"/>
  <c r="F100" i="8"/>
  <c r="F131" i="6"/>
  <c r="I131" s="1"/>
  <c r="F34" i="8"/>
  <c r="I34" s="1"/>
  <c r="F159"/>
  <c r="I159" s="1"/>
  <c r="F129" i="10"/>
  <c r="I129" s="1"/>
  <c r="E157" i="26" s="1"/>
  <c r="F237" i="6"/>
  <c r="I237" s="1"/>
  <c r="F68" i="8"/>
  <c r="I68" s="1"/>
  <c r="F159" i="6"/>
  <c r="I159" s="1"/>
  <c r="F117"/>
  <c r="I117" s="1"/>
  <c r="F175"/>
  <c r="I175" s="1"/>
  <c r="J10" i="16"/>
  <c r="K10" s="1"/>
  <c r="G44" i="10" s="1"/>
  <c r="I276" i="6"/>
  <c r="C170" i="26" s="1"/>
  <c r="E28" i="20"/>
  <c r="G10" i="16"/>
  <c r="G15"/>
  <c r="G58" i="8"/>
  <c r="D20" i="17"/>
  <c r="F20" s="1"/>
  <c r="J20" s="1"/>
  <c r="G20" i="16"/>
  <c r="H20" s="1"/>
  <c r="G209" i="8" s="1"/>
  <c r="G17" i="16"/>
  <c r="H78" i="26"/>
  <c r="B11" i="9"/>
  <c r="G144" i="8"/>
  <c r="E24" i="16"/>
  <c r="G271" i="6" s="1"/>
  <c r="I122" i="8"/>
  <c r="I62" i="10"/>
  <c r="D47" i="16"/>
  <c r="G47" s="1"/>
  <c r="C14" i="5"/>
  <c r="I61" i="6"/>
  <c r="I92" i="8"/>
  <c r="A40" i="23"/>
  <c r="C40" s="1"/>
  <c r="G11" i="16"/>
  <c r="G13"/>
  <c r="G87" i="8"/>
  <c r="G100"/>
  <c r="B71"/>
  <c r="E26" i="20"/>
  <c r="B69" i="8" s="1"/>
  <c r="E30" i="20"/>
  <c r="B191" i="8" s="1"/>
  <c r="E27" i="20"/>
  <c r="G18" i="16"/>
  <c r="G12"/>
  <c r="H12" s="1"/>
  <c r="G79" i="8" s="1"/>
  <c r="H30"/>
  <c r="E25" i="20"/>
  <c r="B35" i="8" s="1"/>
  <c r="E29" i="20"/>
  <c r="B160" i="8" s="1"/>
  <c r="D37" i="17"/>
  <c r="F37" s="1"/>
  <c r="J37" s="1"/>
  <c r="G19" i="16"/>
  <c r="G14"/>
  <c r="G29" i="8"/>
  <c r="I29" s="1"/>
  <c r="G207"/>
  <c r="G175"/>
  <c r="I175" s="1"/>
  <c r="H30" i="6"/>
  <c r="I216" i="8"/>
  <c r="D172" i="26" s="1"/>
  <c r="H218" i="8"/>
  <c r="G146" i="10"/>
  <c r="G29"/>
  <c r="I29" s="1"/>
  <c r="J16" i="16"/>
  <c r="G28" i="20"/>
  <c r="J17" i="16"/>
  <c r="G25" i="20"/>
  <c r="B35" i="10" s="1"/>
  <c r="G27" i="20"/>
  <c r="G26"/>
  <c r="B69" i="10" s="1"/>
  <c r="J13" i="16"/>
  <c r="G101" i="10"/>
  <c r="B71"/>
  <c r="J14" i="16"/>
  <c r="K14" s="1"/>
  <c r="G109" i="10" s="1"/>
  <c r="G7" i="19"/>
  <c r="B52" i="10" s="1"/>
  <c r="G10" i="19"/>
  <c r="B141" i="10" s="1"/>
  <c r="F207" i="8"/>
  <c r="F118" i="10"/>
  <c r="F98"/>
  <c r="I98" s="1"/>
  <c r="F100" i="6"/>
  <c r="I100" s="1"/>
  <c r="F206"/>
  <c r="I206" s="1"/>
  <c r="F221"/>
  <c r="I221" s="1"/>
  <c r="F27" i="10"/>
  <c r="I27" s="1"/>
  <c r="F34"/>
  <c r="I34" s="1"/>
  <c r="F117" i="8"/>
  <c r="I117" s="1"/>
  <c r="F144"/>
  <c r="I144" s="1"/>
  <c r="F27"/>
  <c r="I27" s="1"/>
  <c r="F224" i="6"/>
  <c r="I224" s="1"/>
  <c r="F28"/>
  <c r="I28" s="1"/>
  <c r="F190"/>
  <c r="I190" s="1"/>
  <c r="F128" i="8"/>
  <c r="I128" s="1"/>
  <c r="F162"/>
  <c r="I162" s="1"/>
  <c r="F101" i="10"/>
  <c r="I101" s="1"/>
  <c r="F87"/>
  <c r="I87" s="1"/>
  <c r="F27" i="6"/>
  <c r="I27" s="1"/>
  <c r="F87" i="8"/>
  <c r="I87" s="1"/>
  <c r="F144" i="6"/>
  <c r="I144" s="1"/>
  <c r="I7" i="8"/>
  <c r="H11"/>
  <c r="H11" i="28"/>
  <c r="H7" i="10"/>
  <c r="I7" i="28"/>
  <c r="I269" i="6"/>
  <c r="C165" i="26" s="1"/>
  <c r="K12" i="16"/>
  <c r="G79" i="10" s="1"/>
  <c r="H16" i="16"/>
  <c r="G146" i="8" s="1"/>
  <c r="H79" i="26"/>
  <c r="I62" i="8"/>
  <c r="I153"/>
  <c r="I121"/>
  <c r="I118" i="10"/>
  <c r="I121" i="6"/>
  <c r="I184"/>
  <c r="I183" i="8"/>
  <c r="D48" i="16"/>
  <c r="G48" s="1"/>
  <c r="L28" i="21"/>
  <c r="N28" s="1"/>
  <c r="O28" s="1"/>
  <c r="L8"/>
  <c r="N8" s="1"/>
  <c r="O8" s="1"/>
  <c r="L16"/>
  <c r="N16" s="1"/>
  <c r="O16" s="1"/>
  <c r="L10"/>
  <c r="N10" s="1"/>
  <c r="O10" s="1"/>
  <c r="F44" i="8" s="1"/>
  <c r="I246" i="6"/>
  <c r="I183"/>
  <c r="I91" i="8"/>
  <c r="I92" i="10"/>
  <c r="L50" i="21"/>
  <c r="C27" i="11" s="1"/>
  <c r="H27" s="1"/>
  <c r="I168" i="6"/>
  <c r="I114" i="10"/>
  <c r="C9" i="26"/>
  <c r="C15"/>
  <c r="D82" i="10"/>
  <c r="C82"/>
  <c r="F82" s="1"/>
  <c r="C83"/>
  <c r="F83" s="1"/>
  <c r="I83" s="1"/>
  <c r="D113"/>
  <c r="D239" i="6"/>
  <c r="B248"/>
  <c r="B13" i="3" s="1"/>
  <c r="C239" i="6"/>
  <c r="F22"/>
  <c r="F22" i="10"/>
  <c r="F22" i="8"/>
  <c r="C139" i="6"/>
  <c r="D139"/>
  <c r="C51"/>
  <c r="F51" s="1"/>
  <c r="D51"/>
  <c r="C52"/>
  <c r="F52" s="1"/>
  <c r="I52" s="1"/>
  <c r="C170" i="8"/>
  <c r="B186"/>
  <c r="F11" i="3" s="1"/>
  <c r="D170" i="8"/>
  <c r="D75" i="6"/>
  <c r="C75"/>
  <c r="C41" i="10"/>
  <c r="B64"/>
  <c r="J7" i="3" s="1"/>
  <c r="D41" i="10"/>
  <c r="J22" i="18"/>
  <c r="I73" i="6"/>
  <c r="C7" i="26"/>
  <c r="C16"/>
  <c r="D52" i="10"/>
  <c r="C52"/>
  <c r="F52" s="1"/>
  <c r="C53"/>
  <c r="F53" s="1"/>
  <c r="I53" s="1"/>
  <c r="F25"/>
  <c r="I25" s="1"/>
  <c r="F25" i="8"/>
  <c r="I25" s="1"/>
  <c r="F25" i="6"/>
  <c r="I25" s="1"/>
  <c r="F48" i="11"/>
  <c r="H48" s="1"/>
  <c r="H51" s="1"/>
  <c r="F16" s="1"/>
  <c r="C108" i="6"/>
  <c r="D108"/>
  <c r="D264"/>
  <c r="B280"/>
  <c r="B14" i="3" s="1"/>
  <c r="C264" i="6"/>
  <c r="C112"/>
  <c r="D112"/>
  <c r="C271"/>
  <c r="D271"/>
  <c r="D170"/>
  <c r="C170"/>
  <c r="D202" i="8"/>
  <c r="C202"/>
  <c r="B218"/>
  <c r="F12" i="3" s="1"/>
  <c r="F24" i="6"/>
  <c r="I24" s="1"/>
  <c r="F24" i="10"/>
  <c r="I24" s="1"/>
  <c r="F24" i="8"/>
  <c r="I24" s="1"/>
  <c r="C40" i="6"/>
  <c r="D40"/>
  <c r="B63"/>
  <c r="B7" i="3" s="1"/>
  <c r="D105" i="8"/>
  <c r="C105"/>
  <c r="C76" i="10"/>
  <c r="B94"/>
  <c r="J8" i="3" s="1"/>
  <c r="D76" i="10"/>
  <c r="M62" i="13"/>
  <c r="I103" i="8"/>
  <c r="D55"/>
  <c r="C56"/>
  <c r="F56" s="1"/>
  <c r="I56" s="1"/>
  <c r="C55" i="10"/>
  <c r="F55" s="1"/>
  <c r="D55"/>
  <c r="C222" i="6"/>
  <c r="D222"/>
  <c r="F174"/>
  <c r="I174" s="1"/>
  <c r="F48" i="10"/>
  <c r="I48" s="1"/>
  <c r="F86"/>
  <c r="I86" s="1"/>
  <c r="F205" i="6"/>
  <c r="I205" s="1"/>
  <c r="F268"/>
  <c r="F85" i="10"/>
  <c r="I85" s="1"/>
  <c r="F130" i="6"/>
  <c r="I130" s="1"/>
  <c r="F133"/>
  <c r="I133" s="1"/>
  <c r="F54"/>
  <c r="I54" s="1"/>
  <c r="F116" i="10"/>
  <c r="I116" s="1"/>
  <c r="F115" i="8"/>
  <c r="I115" s="1"/>
  <c r="F142"/>
  <c r="I142" s="1"/>
  <c r="F192" i="6"/>
  <c r="F37"/>
  <c r="I37" s="1"/>
  <c r="F192" i="8"/>
  <c r="I192" s="1"/>
  <c r="F99"/>
  <c r="F195" i="6"/>
  <c r="I195" s="1"/>
  <c r="F78"/>
  <c r="I78" s="1"/>
  <c r="F47" i="10"/>
  <c r="I47" s="1"/>
  <c r="F115" i="6"/>
  <c r="I115" s="1"/>
  <c r="I86"/>
  <c r="I268"/>
  <c r="A39" i="23"/>
  <c r="C39" s="1"/>
  <c r="D40" s="1"/>
  <c r="J24" i="17"/>
  <c r="F25"/>
  <c r="J25" s="1"/>
  <c r="J7"/>
  <c r="F8"/>
  <c r="J8" s="1"/>
  <c r="C173" i="8"/>
  <c r="D173"/>
  <c r="G15" i="11"/>
  <c r="H15"/>
  <c r="D253" i="6"/>
  <c r="C253"/>
  <c r="D68"/>
  <c r="C68"/>
  <c r="F193"/>
  <c r="I193" s="1"/>
  <c r="F252"/>
  <c r="F132" i="10"/>
  <c r="F190" i="8"/>
  <c r="F193"/>
  <c r="I193" s="1"/>
  <c r="D159" i="26" s="1"/>
  <c r="F28" i="10"/>
  <c r="I28" s="1"/>
  <c r="F131" i="8"/>
  <c r="F58"/>
  <c r="I58" s="1"/>
  <c r="F33" i="6"/>
  <c r="I33" s="1"/>
  <c r="F128"/>
  <c r="I128" s="1"/>
  <c r="F146" i="10"/>
  <c r="I146" s="1"/>
  <c r="E165" i="26" s="1"/>
  <c r="C145" i="10"/>
  <c r="J36" i="25"/>
  <c r="C55" i="8"/>
  <c r="F55" s="1"/>
  <c r="I28"/>
  <c r="H124"/>
  <c r="G117" i="10"/>
  <c r="F73"/>
  <c r="I73" s="1"/>
  <c r="I215" i="8"/>
  <c r="D171" i="26" s="1"/>
  <c r="H29" i="11"/>
  <c r="D34" s="1"/>
  <c r="D19" i="19"/>
  <c r="G37" i="11"/>
  <c r="F86" i="8" l="1"/>
  <c r="I86" s="1"/>
  <c r="F48"/>
  <c r="I48" s="1"/>
  <c r="F56" i="10"/>
  <c r="I56" s="1"/>
  <c r="F44" i="6"/>
  <c r="I44" s="1"/>
  <c r="F47"/>
  <c r="I47" s="1"/>
  <c r="F117" i="10"/>
  <c r="F143" i="8"/>
  <c r="I143" s="1"/>
  <c r="F79" i="6"/>
  <c r="I79" s="1"/>
  <c r="F45" i="10"/>
  <c r="I45" s="1"/>
  <c r="F80" i="8"/>
  <c r="I80" s="1"/>
  <c r="F116"/>
  <c r="I116" s="1"/>
  <c r="F143" i="6"/>
  <c r="I143" s="1"/>
  <c r="F55"/>
  <c r="I55" s="1"/>
  <c r="F178"/>
  <c r="I178" s="1"/>
  <c r="F210" i="8"/>
  <c r="I210" s="1"/>
  <c r="F80" i="10"/>
  <c r="I80" s="1"/>
  <c r="F45" i="8"/>
  <c r="I45" s="1"/>
  <c r="F236" i="6"/>
  <c r="I236" s="1"/>
  <c r="F209"/>
  <c r="I209" s="1"/>
  <c r="F49"/>
  <c r="I49" s="1"/>
  <c r="F49" i="8"/>
  <c r="I49" s="1"/>
  <c r="F49" i="10"/>
  <c r="I49" s="1"/>
  <c r="F50" i="8"/>
  <c r="I50" s="1"/>
  <c r="F48" i="6"/>
  <c r="I48" s="1"/>
  <c r="F50" i="10"/>
  <c r="I50" s="1"/>
  <c r="C71"/>
  <c r="F71" s="1"/>
  <c r="D71"/>
  <c r="D160" i="8"/>
  <c r="C160"/>
  <c r="F160" s="1"/>
  <c r="I160" s="1"/>
  <c r="I30"/>
  <c r="H64"/>
  <c r="C191"/>
  <c r="F191" s="1"/>
  <c r="D191"/>
  <c r="C71"/>
  <c r="F71" s="1"/>
  <c r="D71"/>
  <c r="B129"/>
  <c r="B98"/>
  <c r="I6"/>
  <c r="G11"/>
  <c r="B31" i="18"/>
  <c r="F29"/>
  <c r="J29"/>
  <c r="D70" i="6"/>
  <c r="B93"/>
  <c r="B8" i="3" s="1"/>
  <c r="C70" i="6"/>
  <c r="F70" s="1"/>
  <c r="I70" s="1"/>
  <c r="C73" i="26"/>
  <c r="C13" i="7"/>
  <c r="J78" i="26"/>
  <c r="J76"/>
  <c r="J77"/>
  <c r="J75"/>
  <c r="B22" i="5"/>
  <c r="C54" i="1"/>
  <c r="F116" i="6"/>
  <c r="I116" s="1"/>
  <c r="F178" i="8"/>
  <c r="I178" s="1"/>
  <c r="K16" i="16"/>
  <c r="G148" i="10" s="1"/>
  <c r="H18" i="16"/>
  <c r="G177" i="8" s="1"/>
  <c r="F85" i="6"/>
  <c r="I85" s="1"/>
  <c r="F206" i="8"/>
  <c r="I206" s="1"/>
  <c r="F102"/>
  <c r="I102" s="1"/>
  <c r="F110" i="10"/>
  <c r="I110" s="1"/>
  <c r="I11" i="28"/>
  <c r="F32" i="6"/>
  <c r="I32" s="1"/>
  <c r="F134" i="10"/>
  <c r="I134" s="1"/>
  <c r="F70"/>
  <c r="I70" s="1"/>
  <c r="F100"/>
  <c r="I100" s="1"/>
  <c r="F204" i="6"/>
  <c r="I204" s="1"/>
  <c r="F235"/>
  <c r="I235" s="1"/>
  <c r="F161" i="8"/>
  <c r="I161" s="1"/>
  <c r="F99" i="6"/>
  <c r="I99" s="1"/>
  <c r="F223"/>
  <c r="I223" s="1"/>
  <c r="F38" i="10"/>
  <c r="I38" s="1"/>
  <c r="F103"/>
  <c r="I103" s="1"/>
  <c r="F102" i="6"/>
  <c r="I102" s="1"/>
  <c r="F254"/>
  <c r="I254" s="1"/>
  <c r="F267"/>
  <c r="I267" s="1"/>
  <c r="C164" i="26" s="1"/>
  <c r="F46" i="6"/>
  <c r="I46" s="1"/>
  <c r="F79" i="8"/>
  <c r="F164" i="6"/>
  <c r="I164" s="1"/>
  <c r="F70" i="8"/>
  <c r="I70" s="1"/>
  <c r="F47"/>
  <c r="I47" s="1"/>
  <c r="F130"/>
  <c r="I130" s="1"/>
  <c r="F131" i="10"/>
  <c r="I131" s="1"/>
  <c r="F205" i="8"/>
  <c r="I205" s="1"/>
  <c r="F84" i="6"/>
  <c r="I84" s="1"/>
  <c r="F257"/>
  <c r="I257" s="1"/>
  <c r="C160" i="26" s="1"/>
  <c r="F146" i="6"/>
  <c r="I146" s="1"/>
  <c r="F52" i="8"/>
  <c r="I52" s="1"/>
  <c r="F109" i="10"/>
  <c r="I109" s="1"/>
  <c r="F195" i="8"/>
  <c r="I195" s="1"/>
  <c r="F208" i="6"/>
  <c r="I208" s="1"/>
  <c r="F73" i="8"/>
  <c r="I73" s="1"/>
  <c r="F148" i="10"/>
  <c r="I148" s="1"/>
  <c r="F112" i="8"/>
  <c r="I112" s="1"/>
  <c r="F113" i="10"/>
  <c r="F139" i="8"/>
  <c r="I139" s="1"/>
  <c r="F81" i="6"/>
  <c r="I81" s="1"/>
  <c r="F173"/>
  <c r="I173" s="1"/>
  <c r="F79" i="10"/>
  <c r="I79" s="1"/>
  <c r="F69" i="6"/>
  <c r="I69" s="1"/>
  <c r="F142"/>
  <c r="I142" s="1"/>
  <c r="F161"/>
  <c r="I161" s="1"/>
  <c r="F226"/>
  <c r="I226" s="1"/>
  <c r="F72"/>
  <c r="I72" s="1"/>
  <c r="F164" i="8"/>
  <c r="I164" s="1"/>
  <c r="F146"/>
  <c r="I146" s="1"/>
  <c r="F201" i="6"/>
  <c r="I201" s="1"/>
  <c r="F43"/>
  <c r="I43" s="1"/>
  <c r="F108" i="8"/>
  <c r="F177" i="6"/>
  <c r="I177" s="1"/>
  <c r="F177" i="8"/>
  <c r="I177" s="1"/>
  <c r="F209"/>
  <c r="I209" s="1"/>
  <c r="D166" i="26" s="1"/>
  <c r="F232" i="6"/>
  <c r="I232" s="1"/>
  <c r="F133" i="8"/>
  <c r="I133" s="1"/>
  <c r="F38"/>
  <c r="I38" s="1"/>
  <c r="F82"/>
  <c r="I82" s="1"/>
  <c r="F21" i="6"/>
  <c r="I21" s="1"/>
  <c r="F21" i="8"/>
  <c r="I21" s="1"/>
  <c r="F23" i="6"/>
  <c r="I23" s="1"/>
  <c r="F23" i="8"/>
  <c r="I23" s="1"/>
  <c r="F41"/>
  <c r="F106" i="10"/>
  <c r="F198" i="8"/>
  <c r="F167"/>
  <c r="F167" i="6"/>
  <c r="F260"/>
  <c r="F23" i="10"/>
  <c r="I23" s="1"/>
  <c r="F21"/>
  <c r="I21" s="1"/>
  <c r="F105" i="6"/>
  <c r="F76" i="8"/>
  <c r="F137" i="10"/>
  <c r="F136" i="6"/>
  <c r="F229"/>
  <c r="F198"/>
  <c r="F136" i="8"/>
  <c r="I7" i="10"/>
  <c r="I11" s="1"/>
  <c r="M6" i="3" s="1"/>
  <c r="H11" i="10"/>
  <c r="D141"/>
  <c r="C141"/>
  <c r="C142" s="1"/>
  <c r="F142" s="1"/>
  <c r="I142" s="1"/>
  <c r="D69"/>
  <c r="C69"/>
  <c r="F69" s="1"/>
  <c r="I69" s="1"/>
  <c r="D35"/>
  <c r="C35"/>
  <c r="F35" s="1"/>
  <c r="I35" s="1"/>
  <c r="B130"/>
  <c r="B99"/>
  <c r="I30" i="6"/>
  <c r="H63"/>
  <c r="D35" i="8"/>
  <c r="B64"/>
  <c r="F7" i="3" s="1"/>
  <c r="C35" i="8"/>
  <c r="F35" s="1"/>
  <c r="I35" s="1"/>
  <c r="C69"/>
  <c r="B94"/>
  <c r="F8" i="3" s="1"/>
  <c r="D69" i="8"/>
  <c r="D94" s="1"/>
  <c r="H8" i="3" s="1"/>
  <c r="C11" i="9"/>
  <c r="I8" i="8"/>
  <c r="D11"/>
  <c r="H6" i="3" s="1"/>
  <c r="G11" i="6"/>
  <c r="I6"/>
  <c r="I11" s="1"/>
  <c r="E6" i="3" s="1"/>
  <c r="F12" i="17"/>
  <c r="J12" s="1"/>
  <c r="J22" s="1"/>
  <c r="E3" s="1"/>
  <c r="F10"/>
  <c r="D160" i="6"/>
  <c r="B186"/>
  <c r="B11" i="3" s="1"/>
  <c r="C160" i="6"/>
  <c r="F160" s="1"/>
  <c r="I160" s="1"/>
  <c r="B129"/>
  <c r="B98"/>
  <c r="D46" i="1"/>
  <c r="B14" i="7"/>
  <c r="C14" s="1"/>
  <c r="E56" i="1"/>
  <c r="B25" i="9" s="1"/>
  <c r="C25" s="1"/>
  <c r="B24"/>
  <c r="C24" s="1"/>
  <c r="I117" i="10"/>
  <c r="I82"/>
  <c r="F144"/>
  <c r="I144" s="1"/>
  <c r="F109" i="8"/>
  <c r="I109" s="1"/>
  <c r="I207"/>
  <c r="D165" i="26" s="1"/>
  <c r="H14" i="16"/>
  <c r="G108" i="8" s="1"/>
  <c r="I108" s="1"/>
  <c r="I79"/>
  <c r="F85"/>
  <c r="I85" s="1"/>
  <c r="H10" i="16"/>
  <c r="G44" i="8" s="1"/>
  <c r="I44" s="1"/>
  <c r="F147" i="6"/>
  <c r="I147" s="1"/>
  <c r="I100" i="8"/>
  <c r="F147"/>
  <c r="I147" s="1"/>
  <c r="F44" i="10"/>
  <c r="I44" s="1"/>
  <c r="F149"/>
  <c r="I149" s="1"/>
  <c r="P52" i="13"/>
  <c r="K52" s="1"/>
  <c r="K62" s="1"/>
  <c r="M63" s="1"/>
  <c r="D5" i="26" s="1"/>
  <c r="G9" i="25"/>
  <c r="G134" i="8" s="1"/>
  <c r="D11" i="25"/>
  <c r="G196" i="6" s="1"/>
  <c r="J6" i="25"/>
  <c r="G39" i="10" s="1"/>
  <c r="I39" s="1"/>
  <c r="G11" i="25"/>
  <c r="G196" i="8" s="1"/>
  <c r="J9" i="25"/>
  <c r="D10"/>
  <c r="G165" i="6" s="1"/>
  <c r="P62" i="13"/>
  <c r="G10" i="25"/>
  <c r="G165" i="8" s="1"/>
  <c r="D13" i="25"/>
  <c r="D12"/>
  <c r="G227" i="6" s="1"/>
  <c r="I131" i="8"/>
  <c r="I132" i="10"/>
  <c r="D93" i="6"/>
  <c r="D8" i="3" s="1"/>
  <c r="F145" i="10"/>
  <c r="I145" s="1"/>
  <c r="I252" i="6"/>
  <c r="F68"/>
  <c r="F253"/>
  <c r="I99" i="8"/>
  <c r="D248" i="6"/>
  <c r="D13" i="3" s="1"/>
  <c r="C13" i="26"/>
  <c r="C5"/>
  <c r="F105" i="8"/>
  <c r="C106"/>
  <c r="F106" s="1"/>
  <c r="I106" s="1"/>
  <c r="D63" i="6"/>
  <c r="D7" i="3" s="1"/>
  <c r="F202" i="8"/>
  <c r="C203"/>
  <c r="F203" s="1"/>
  <c r="I203" s="1"/>
  <c r="F170" i="6"/>
  <c r="F186" s="1"/>
  <c r="C11" i="3" s="1"/>
  <c r="C171" i="6"/>
  <c r="F171" s="1"/>
  <c r="I171" s="1"/>
  <c r="C186"/>
  <c r="F264"/>
  <c r="C265"/>
  <c r="F265" s="1"/>
  <c r="I265" s="1"/>
  <c r="G16" i="11"/>
  <c r="H16"/>
  <c r="G33" i="8"/>
  <c r="I33" s="1"/>
  <c r="E3" i="18"/>
  <c r="E4" s="1"/>
  <c r="C76" i="6"/>
  <c r="F76" s="1"/>
  <c r="I76" s="1"/>
  <c r="F75"/>
  <c r="D186" i="8"/>
  <c r="H11" i="3" s="1"/>
  <c r="F170" i="8"/>
  <c r="I170" s="1"/>
  <c r="C171"/>
  <c r="F171" s="1"/>
  <c r="I171" s="1"/>
  <c r="C186"/>
  <c r="F139" i="6"/>
  <c r="C140"/>
  <c r="F140" s="1"/>
  <c r="I140" s="1"/>
  <c r="I22" i="10"/>
  <c r="F239" i="6"/>
  <c r="C240"/>
  <c r="F240" s="1"/>
  <c r="I240" s="1"/>
  <c r="F218" i="8"/>
  <c r="I190"/>
  <c r="I55" i="10"/>
  <c r="D41" i="23"/>
  <c r="C64" i="8"/>
  <c r="I264" i="6"/>
  <c r="I52" i="10"/>
  <c r="I51" i="6"/>
  <c r="I139"/>
  <c r="I239"/>
  <c r="E34" i="11"/>
  <c r="D40"/>
  <c r="G8" s="1"/>
  <c r="H8" s="1"/>
  <c r="I253" i="6"/>
  <c r="C158" i="26" s="1"/>
  <c r="D280" i="6"/>
  <c r="F173" i="8"/>
  <c r="I173" s="1"/>
  <c r="C174"/>
  <c r="F174" s="1"/>
  <c r="I174" s="1"/>
  <c r="I192" i="6"/>
  <c r="F217"/>
  <c r="C12" i="3" s="1"/>
  <c r="F222" i="6"/>
  <c r="F248" s="1"/>
  <c r="C13" i="3" s="1"/>
  <c r="I55" i="8"/>
  <c r="D64"/>
  <c r="H7" i="3" s="1"/>
  <c r="D94" i="10"/>
  <c r="L8" i="3" s="1"/>
  <c r="C94" i="10"/>
  <c r="C77"/>
  <c r="F77" s="1"/>
  <c r="I77" s="1"/>
  <c r="F76"/>
  <c r="F94" s="1"/>
  <c r="K8" i="3" s="1"/>
  <c r="C41" i="6"/>
  <c r="F41" s="1"/>
  <c r="I41" s="1"/>
  <c r="C63"/>
  <c r="F40"/>
  <c r="D218" i="8"/>
  <c r="I202"/>
  <c r="D163" i="26" s="1"/>
  <c r="I170" i="6"/>
  <c r="D186"/>
  <c r="D11" i="3" s="1"/>
  <c r="F271" i="6"/>
  <c r="I271" s="1"/>
  <c r="C166" i="26" s="1"/>
  <c r="C272" i="6"/>
  <c r="F272" s="1"/>
  <c r="I272" s="1"/>
  <c r="C113"/>
  <c r="F113" s="1"/>
  <c r="I113" s="1"/>
  <c r="F112"/>
  <c r="I112" s="1"/>
  <c r="F108"/>
  <c r="C109"/>
  <c r="F109" s="1"/>
  <c r="I109" s="1"/>
  <c r="D64" i="10"/>
  <c r="L7" i="3" s="1"/>
  <c r="F41" i="10"/>
  <c r="C64"/>
  <c r="C42"/>
  <c r="F42" s="1"/>
  <c r="I42" s="1"/>
  <c r="I22" i="8"/>
  <c r="F64"/>
  <c r="G7" i="3" s="1"/>
  <c r="I22" i="6"/>
  <c r="F63"/>
  <c r="C7" i="3" s="1"/>
  <c r="I113" i="10"/>
  <c r="G32" i="8" l="1"/>
  <c r="E4" i="17"/>
  <c r="D98" i="6"/>
  <c r="D124" s="1"/>
  <c r="D9" i="3" s="1"/>
  <c r="C98" i="6"/>
  <c r="B124"/>
  <c r="B9" i="3" s="1"/>
  <c r="D130" i="10"/>
  <c r="D157" s="1"/>
  <c r="C130"/>
  <c r="B157"/>
  <c r="J10" i="3" s="1"/>
  <c r="C55" i="1"/>
  <c r="B23" i="5"/>
  <c r="C23" s="1"/>
  <c r="I73" i="26"/>
  <c r="F73"/>
  <c r="J31" i="18"/>
  <c r="F31"/>
  <c r="C129" i="8"/>
  <c r="D129"/>
  <c r="D155" s="1"/>
  <c r="H10" i="3" s="1"/>
  <c r="B155" i="8"/>
  <c r="F10" i="3" s="1"/>
  <c r="F64" i="10"/>
  <c r="K7" i="3" s="1"/>
  <c r="C163" i="26"/>
  <c r="E164"/>
  <c r="B27" i="9"/>
  <c r="E166" i="26"/>
  <c r="D164"/>
  <c r="J79"/>
  <c r="J33" i="18"/>
  <c r="J39" s="1"/>
  <c r="I11" i="8"/>
  <c r="I6" i="3" s="1"/>
  <c r="I71" i="8"/>
  <c r="I191"/>
  <c r="D158" i="26" s="1"/>
  <c r="I71" i="10"/>
  <c r="D47" i="1"/>
  <c r="B15" i="7"/>
  <c r="C15" s="1"/>
  <c r="B155" i="6"/>
  <c r="B10" i="3" s="1"/>
  <c r="D129" i="6"/>
  <c r="D155" s="1"/>
  <c r="D10" i="3" s="1"/>
  <c r="D15" s="1"/>
  <c r="C129" i="6"/>
  <c r="F129" s="1"/>
  <c r="C94" i="8"/>
  <c r="F69"/>
  <c r="D99" i="10"/>
  <c r="D125" s="1"/>
  <c r="L9" i="3" s="1"/>
  <c r="C99" i="10"/>
  <c r="B125"/>
  <c r="J9" i="3" s="1"/>
  <c r="J15" s="1"/>
  <c r="I161" i="10"/>
  <c r="I35" i="3" s="1"/>
  <c r="D5" i="7"/>
  <c r="D5" i="9"/>
  <c r="I283" i="6"/>
  <c r="I17" i="3" s="1"/>
  <c r="I221" i="8"/>
  <c r="I27" i="3" s="1"/>
  <c r="D5" i="5"/>
  <c r="C22"/>
  <c r="C98" i="8"/>
  <c r="D98"/>
  <c r="D124" s="1"/>
  <c r="H9" i="3" s="1"/>
  <c r="H15" s="1"/>
  <c r="B124" i="8"/>
  <c r="F9" i="3" s="1"/>
  <c r="F15" s="1"/>
  <c r="C27" i="9"/>
  <c r="F141" i="10"/>
  <c r="I141" s="1"/>
  <c r="E163" i="26" s="1"/>
  <c r="H12" i="3"/>
  <c r="C59" i="26"/>
  <c r="B59"/>
  <c r="D14" i="3"/>
  <c r="I32" i="8"/>
  <c r="C157" i="26"/>
  <c r="E159"/>
  <c r="C14"/>
  <c r="C8"/>
  <c r="P63" i="13"/>
  <c r="D8" i="26" s="1"/>
  <c r="G104" i="10"/>
  <c r="G135"/>
  <c r="I134" i="8"/>
  <c r="I108" i="6"/>
  <c r="C248"/>
  <c r="C155"/>
  <c r="F155"/>
  <c r="C10" i="3" s="1"/>
  <c r="C218" i="8"/>
  <c r="I222" i="6"/>
  <c r="F93"/>
  <c r="C8" i="3" s="1"/>
  <c r="I68" i="6"/>
  <c r="F34" i="11"/>
  <c r="E40"/>
  <c r="D157" i="26"/>
  <c r="G12" i="3"/>
  <c r="C60" i="26"/>
  <c r="I227" i="6"/>
  <c r="I165" i="8"/>
  <c r="I186" s="1"/>
  <c r="I165" i="6"/>
  <c r="G186"/>
  <c r="I196" i="8"/>
  <c r="D160" i="26" s="1"/>
  <c r="I196" i="6"/>
  <c r="K63" i="13"/>
  <c r="D11" i="14"/>
  <c r="G198" i="6" s="1"/>
  <c r="I198" s="1"/>
  <c r="J7" i="14"/>
  <c r="G76" i="10" s="1"/>
  <c r="G94" s="1"/>
  <c r="D7" i="14"/>
  <c r="G75" i="6" s="1"/>
  <c r="D13" i="14"/>
  <c r="D6"/>
  <c r="G40" i="6" s="1"/>
  <c r="G63" s="1"/>
  <c r="G10" i="14"/>
  <c r="G167" i="8" s="1"/>
  <c r="I167" s="1"/>
  <c r="J8" i="14"/>
  <c r="G106" i="10" s="1"/>
  <c r="I106" s="1"/>
  <c r="D10" i="14"/>
  <c r="G167" i="6" s="1"/>
  <c r="I167" s="1"/>
  <c r="N63" i="13"/>
  <c r="D6" i="26" s="1"/>
  <c r="D10" s="1"/>
  <c r="J6" i="14"/>
  <c r="G41" i="10" s="1"/>
  <c r="I41" s="1"/>
  <c r="G8" i="14"/>
  <c r="G105" i="8" s="1"/>
  <c r="G11" i="14"/>
  <c r="G198" i="8" s="1"/>
  <c r="I198" s="1"/>
  <c r="D161" i="26" s="1"/>
  <c r="G260" i="6"/>
  <c r="J9" i="14"/>
  <c r="G137" i="10" s="1"/>
  <c r="I137" s="1"/>
  <c r="E161" i="26" s="1"/>
  <c r="D12" i="14"/>
  <c r="G229" i="6" s="1"/>
  <c r="I229" s="1"/>
  <c r="G9" i="14"/>
  <c r="G136" i="8" s="1"/>
  <c r="I136" s="1"/>
  <c r="D9" i="14"/>
  <c r="G136" i="6" s="1"/>
  <c r="G7" i="14"/>
  <c r="G76" i="8" s="1"/>
  <c r="D8" i="14"/>
  <c r="G105" i="6" s="1"/>
  <c r="G6" i="14"/>
  <c r="G41" i="8" s="1"/>
  <c r="I41" s="1"/>
  <c r="I64" s="1"/>
  <c r="O63" i="13"/>
  <c r="D7" i="26" s="1"/>
  <c r="Q63" i="13"/>
  <c r="D9" i="26" s="1"/>
  <c r="I217" i="6"/>
  <c r="F186" i="8"/>
  <c r="G11" i="3" s="1"/>
  <c r="C10" i="26"/>
  <c r="B61" s="1"/>
  <c r="C280" i="6"/>
  <c r="C93"/>
  <c r="F280"/>
  <c r="F98" i="8" l="1"/>
  <c r="C124"/>
  <c r="F99" i="10"/>
  <c r="C125"/>
  <c r="F94" i="8"/>
  <c r="G8" i="3" s="1"/>
  <c r="I69" i="8"/>
  <c r="B16" i="7"/>
  <c r="D48" i="1"/>
  <c r="F129" i="8"/>
  <c r="C155"/>
  <c r="I77" i="26"/>
  <c r="E77" s="1"/>
  <c r="I75"/>
  <c r="I76"/>
  <c r="E76" s="1"/>
  <c r="I78"/>
  <c r="E78" s="1"/>
  <c r="E73"/>
  <c r="C56" i="1"/>
  <c r="B25" i="5" s="1"/>
  <c r="C25" s="1"/>
  <c r="B24"/>
  <c r="F130" i="10"/>
  <c r="C157"/>
  <c r="I129" i="6"/>
  <c r="B15" i="3"/>
  <c r="H3" i="18"/>
  <c r="H4" s="1"/>
  <c r="G33" i="10"/>
  <c r="I33" s="1"/>
  <c r="D59" i="26"/>
  <c r="D76" s="1"/>
  <c r="L10" i="3"/>
  <c r="L15" s="1"/>
  <c r="F98" i="6"/>
  <c r="C124"/>
  <c r="C61" i="26"/>
  <c r="D61"/>
  <c r="B78"/>
  <c r="E12" i="3"/>
  <c r="I289" i="6"/>
  <c r="I23" i="3" s="1"/>
  <c r="D11" i="5"/>
  <c r="I136" i="6"/>
  <c r="I155" s="1"/>
  <c r="G155"/>
  <c r="G124" i="8"/>
  <c r="I105"/>
  <c r="I11" i="3"/>
  <c r="I226" i="8"/>
  <c r="I32" i="3" s="1"/>
  <c r="D10" i="7"/>
  <c r="B60" i="26"/>
  <c r="C14" i="3"/>
  <c r="G94" i="8"/>
  <c r="I76"/>
  <c r="I94" s="1"/>
  <c r="D174" i="26"/>
  <c r="G157" s="1"/>
  <c r="G34" i="11"/>
  <c r="G40" s="1"/>
  <c r="H34"/>
  <c r="H40" s="1"/>
  <c r="F12" s="1"/>
  <c r="F40"/>
  <c r="F41" s="1"/>
  <c r="I104" i="10"/>
  <c r="G125"/>
  <c r="F59" i="26"/>
  <c r="C76"/>
  <c r="F76" s="1"/>
  <c r="G217" i="6"/>
  <c r="G218" i="8"/>
  <c r="I186" i="6"/>
  <c r="G186" i="8"/>
  <c r="G248" i="6"/>
  <c r="I248"/>
  <c r="I76" i="10"/>
  <c r="I94" s="1"/>
  <c r="G155" i="8"/>
  <c r="G64"/>
  <c r="I40" i="6"/>
  <c r="I63" s="1"/>
  <c r="I105"/>
  <c r="G124"/>
  <c r="G280"/>
  <c r="I260"/>
  <c r="G93"/>
  <c r="I75"/>
  <c r="I93" s="1"/>
  <c r="C77" i="26"/>
  <c r="F77" s="1"/>
  <c r="F60"/>
  <c r="I222" i="8"/>
  <c r="I28" i="3" s="1"/>
  <c r="I7"/>
  <c r="D6" i="7"/>
  <c r="I135" i="10"/>
  <c r="G157"/>
  <c r="B76" i="26"/>
  <c r="G160"/>
  <c r="I218" i="8"/>
  <c r="I98" i="6" l="1"/>
  <c r="F124"/>
  <c r="C9" i="3" s="1"/>
  <c r="C15" s="1"/>
  <c r="C24" i="5"/>
  <c r="C27" s="1"/>
  <c r="B27"/>
  <c r="I129" i="8"/>
  <c r="I155" s="1"/>
  <c r="F155"/>
  <c r="G10" i="3" s="1"/>
  <c r="C16" i="7"/>
  <c r="I99" i="10"/>
  <c r="F125"/>
  <c r="K9" i="3" s="1"/>
  <c r="I98" i="8"/>
  <c r="F124"/>
  <c r="G9" i="3" s="1"/>
  <c r="G15" s="1"/>
  <c r="G161" i="26"/>
  <c r="I125" i="10"/>
  <c r="I124" i="8"/>
  <c r="I130" i="10"/>
  <c r="E158" i="26" s="1"/>
  <c r="F157" i="10"/>
  <c r="I79" i="26"/>
  <c r="E75"/>
  <c r="E79" s="1"/>
  <c r="B17" i="7"/>
  <c r="C17" s="1"/>
  <c r="D49" i="1"/>
  <c r="I124" i="6"/>
  <c r="I285"/>
  <c r="I19" i="3" s="1"/>
  <c r="D7" i="5"/>
  <c r="E8" i="3"/>
  <c r="E160" i="26"/>
  <c r="I157" i="10"/>
  <c r="C71" i="7"/>
  <c r="C63"/>
  <c r="D20"/>
  <c r="D12"/>
  <c r="C72"/>
  <c r="C61"/>
  <c r="D15"/>
  <c r="C65"/>
  <c r="D19"/>
  <c r="C74"/>
  <c r="D17"/>
  <c r="D18"/>
  <c r="C73"/>
  <c r="D11"/>
  <c r="D22"/>
  <c r="C67"/>
  <c r="D24"/>
  <c r="D16"/>
  <c r="I12" i="3"/>
  <c r="C66" i="7"/>
  <c r="D21"/>
  <c r="I227" i="8"/>
  <c r="I33" i="3" s="1"/>
  <c r="C70" i="7"/>
  <c r="D25"/>
  <c r="D14"/>
  <c r="C62"/>
  <c r="C68"/>
  <c r="D13"/>
  <c r="D23"/>
  <c r="C69"/>
  <c r="C64"/>
  <c r="C161" i="26"/>
  <c r="I280" i="6"/>
  <c r="I284"/>
  <c r="I18" i="3" s="1"/>
  <c r="D6" i="5"/>
  <c r="E7" i="3"/>
  <c r="I290" i="6"/>
  <c r="I24" i="3" s="1"/>
  <c r="D12" i="5"/>
  <c r="E13" i="3"/>
  <c r="E11"/>
  <c r="I288" i="6"/>
  <c r="I22" i="3" s="1"/>
  <c r="D10" i="5"/>
  <c r="H41" i="11"/>
  <c r="H45" s="1"/>
  <c r="F45"/>
  <c r="G174" i="26"/>
  <c r="G172"/>
  <c r="G167"/>
  <c r="G169"/>
  <c r="G165"/>
  <c r="G162"/>
  <c r="G168"/>
  <c r="G170"/>
  <c r="G164"/>
  <c r="G166"/>
  <c r="G158"/>
  <c r="G159"/>
  <c r="G171"/>
  <c r="G163"/>
  <c r="B77"/>
  <c r="I224" i="8"/>
  <c r="I30" i="3" s="1"/>
  <c r="D8" i="7"/>
  <c r="I9" i="3"/>
  <c r="F61" i="26"/>
  <c r="C78"/>
  <c r="F78" s="1"/>
  <c r="I286" i="6"/>
  <c r="I20" i="3" s="1"/>
  <c r="D8" i="5"/>
  <c r="E9" i="3"/>
  <c r="D7" i="9"/>
  <c r="I163" i="10"/>
  <c r="I37" i="3" s="1"/>
  <c r="M8"/>
  <c r="I164" i="10"/>
  <c r="I38" i="3" s="1"/>
  <c r="M9"/>
  <c r="D8" i="9"/>
  <c r="G12" i="11"/>
  <c r="G19" s="1"/>
  <c r="H12"/>
  <c r="H19" s="1"/>
  <c r="C5" i="1" s="1"/>
  <c r="F19" i="11"/>
  <c r="D7" i="7"/>
  <c r="I223" i="8"/>
  <c r="I29" i="3" s="1"/>
  <c r="I8"/>
  <c r="D9" i="5"/>
  <c r="I287" i="6"/>
  <c r="I21" i="3" s="1"/>
  <c r="E10"/>
  <c r="D78" i="26"/>
  <c r="I10" i="3" l="1"/>
  <c r="I225" i="8"/>
  <c r="I31" i="3" s="1"/>
  <c r="D9" i="7"/>
  <c r="I15" i="3"/>
  <c r="D27" i="7"/>
  <c r="B18"/>
  <c r="E18" s="1"/>
  <c r="F18" s="1"/>
  <c r="G18" s="1"/>
  <c r="D50" i="1"/>
  <c r="K10" i="3"/>
  <c r="K15" s="1"/>
  <c r="D60" i="26"/>
  <c r="D77" s="1"/>
  <c r="E66" i="9"/>
  <c r="E68" i="7"/>
  <c r="E67" i="9"/>
  <c r="E7"/>
  <c r="E5" i="7"/>
  <c r="E62" i="9"/>
  <c r="E9" i="5"/>
  <c r="E16"/>
  <c r="E10" i="9"/>
  <c r="D58" i="26" s="1"/>
  <c r="E61" i="5"/>
  <c r="E62" i="7"/>
  <c r="E5" i="5"/>
  <c r="E12" i="7"/>
  <c r="C58" i="26" s="1"/>
  <c r="E11" i="5"/>
  <c r="E8" i="9"/>
  <c r="E64" i="5"/>
  <c r="E6"/>
  <c r="E17"/>
  <c r="E8"/>
  <c r="E63" i="7"/>
  <c r="E63" i="5"/>
  <c r="E64" i="7"/>
  <c r="E65"/>
  <c r="E64" i="9"/>
  <c r="E18" i="5"/>
  <c r="E11" i="9"/>
  <c r="E15" i="7"/>
  <c r="E19" i="5"/>
  <c r="E66"/>
  <c r="E16" i="7"/>
  <c r="E15" i="9"/>
  <c r="E67" i="5"/>
  <c r="E14" i="9"/>
  <c r="E69" i="5"/>
  <c r="E68" i="9"/>
  <c r="E16"/>
  <c r="E69" i="7"/>
  <c r="E70"/>
  <c r="E70" i="5"/>
  <c r="E17" i="9"/>
  <c r="E23" i="5"/>
  <c r="E71" i="7"/>
  <c r="E71" i="5"/>
  <c r="E71" i="9"/>
  <c r="E20"/>
  <c r="E73" i="7"/>
  <c r="E67"/>
  <c r="E20" i="5"/>
  <c r="E21"/>
  <c r="E68"/>
  <c r="E17" i="7"/>
  <c r="G17" s="1"/>
  <c r="H17" s="1"/>
  <c r="E14" i="5"/>
  <c r="B58" i="26" s="1"/>
  <c r="E11" i="7"/>
  <c r="G11" s="1"/>
  <c r="H11" s="1"/>
  <c r="E9"/>
  <c r="E13" i="5"/>
  <c r="E5" i="9"/>
  <c r="E7" i="5"/>
  <c r="E61" i="9"/>
  <c r="E12" i="5"/>
  <c r="E61" i="7"/>
  <c r="E9" i="9"/>
  <c r="E15" i="5"/>
  <c r="E10" i="7"/>
  <c r="E63" i="9"/>
  <c r="E6"/>
  <c r="E8" i="7"/>
  <c r="E10" i="5"/>
  <c r="E13" i="7"/>
  <c r="E62" i="5"/>
  <c r="E6" i="7"/>
  <c r="E7"/>
  <c r="G7" s="1"/>
  <c r="H7" s="1"/>
  <c r="E12" i="9"/>
  <c r="E65" i="5"/>
  <c r="E14" i="7"/>
  <c r="E13" i="9"/>
  <c r="E65"/>
  <c r="E66" i="7"/>
  <c r="E22" i="5"/>
  <c r="E69" i="9"/>
  <c r="E70"/>
  <c r="E24" i="5"/>
  <c r="E25"/>
  <c r="E18" i="9"/>
  <c r="E72" i="5"/>
  <c r="E19" i="9"/>
  <c r="E72" i="7"/>
  <c r="E74"/>
  <c r="E73" i="5"/>
  <c r="E73" i="9"/>
  <c r="E22"/>
  <c r="E23"/>
  <c r="E72"/>
  <c r="E74" i="5"/>
  <c r="E74" i="9"/>
  <c r="E21"/>
  <c r="E24"/>
  <c r="E25"/>
  <c r="F8"/>
  <c r="G8" s="1"/>
  <c r="H8" s="1"/>
  <c r="F9" i="5"/>
  <c r="G9" s="1"/>
  <c r="H9" s="1"/>
  <c r="F7" i="9"/>
  <c r="G7" s="1"/>
  <c r="H7" s="1"/>
  <c r="F8" i="5"/>
  <c r="G8" s="1"/>
  <c r="H8" s="1"/>
  <c r="F6"/>
  <c r="G6" s="1"/>
  <c r="H6" s="1"/>
  <c r="D13"/>
  <c r="D21"/>
  <c r="C64"/>
  <c r="C72"/>
  <c r="D20"/>
  <c r="C66"/>
  <c r="I291" i="6"/>
  <c r="I25" i="3" s="1"/>
  <c r="D16" i="5"/>
  <c r="C62"/>
  <c r="C73"/>
  <c r="C63"/>
  <c r="D23"/>
  <c r="D19"/>
  <c r="C65"/>
  <c r="C70"/>
  <c r="D17"/>
  <c r="D25"/>
  <c r="C68"/>
  <c r="D15"/>
  <c r="C61"/>
  <c r="C71"/>
  <c r="D22"/>
  <c r="C67"/>
  <c r="D18"/>
  <c r="C74"/>
  <c r="C69"/>
  <c r="E14" i="3"/>
  <c r="D24" i="5"/>
  <c r="D14"/>
  <c r="F13" i="7"/>
  <c r="G13" s="1"/>
  <c r="H13" s="1"/>
  <c r="F16"/>
  <c r="G16" s="1"/>
  <c r="H16" s="1"/>
  <c r="F1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F74" s="1"/>
  <c r="G74" s="1"/>
  <c r="D18" i="9"/>
  <c r="D10"/>
  <c r="D16"/>
  <c r="D9"/>
  <c r="D20"/>
  <c r="C61"/>
  <c r="D24"/>
  <c r="D17"/>
  <c r="M10" i="3"/>
  <c r="D22" i="9"/>
  <c r="D14"/>
  <c r="I165" i="10"/>
  <c r="I39" i="3" s="1"/>
  <c r="D21" i="9"/>
  <c r="D11"/>
  <c r="D25"/>
  <c r="D15"/>
  <c r="D19"/>
  <c r="D13"/>
  <c r="D12"/>
  <c r="D23"/>
  <c r="F61" i="7"/>
  <c r="G61" s="1"/>
  <c r="F7"/>
  <c r="F8"/>
  <c r="G8" s="1"/>
  <c r="H8" s="1"/>
  <c r="F10" i="5"/>
  <c r="G10" s="1"/>
  <c r="H10" s="1"/>
  <c r="F12"/>
  <c r="G12"/>
  <c r="H12" s="1"/>
  <c r="C174" i="26"/>
  <c r="F14" i="7"/>
  <c r="G14" s="1"/>
  <c r="H14" s="1"/>
  <c r="F17"/>
  <c r="F15"/>
  <c r="G15" s="1"/>
  <c r="H15" s="1"/>
  <c r="E174" i="26"/>
  <c r="F7" i="5"/>
  <c r="G7" s="1"/>
  <c r="H7" s="1"/>
  <c r="E15" i="3"/>
  <c r="F64" i="7"/>
  <c r="G64" s="1"/>
  <c r="F70"/>
  <c r="G70" s="1"/>
  <c r="F72"/>
  <c r="G72" s="1"/>
  <c r="F66" l="1"/>
  <c r="G66" s="1"/>
  <c r="F69"/>
  <c r="G69" s="1"/>
  <c r="H69" s="1"/>
  <c r="F71"/>
  <c r="G71" s="1"/>
  <c r="F73"/>
  <c r="G73" s="1"/>
  <c r="H73" s="1"/>
  <c r="F68"/>
  <c r="G68" s="1"/>
  <c r="F63"/>
  <c r="G63" s="1"/>
  <c r="H63" s="1"/>
  <c r="F65"/>
  <c r="G65" s="1"/>
  <c r="F67"/>
  <c r="G67" s="1"/>
  <c r="E224" i="26" s="1"/>
  <c r="F62" i="7"/>
  <c r="G62" s="1"/>
  <c r="F12"/>
  <c r="G12" s="1"/>
  <c r="C63" i="26" s="1"/>
  <c r="C66" s="1"/>
  <c r="D29" i="17"/>
  <c r="F29" s="1"/>
  <c r="J29" s="1"/>
  <c r="J39" s="1"/>
  <c r="H3" s="1"/>
  <c r="D51" i="1"/>
  <c r="B19" i="7"/>
  <c r="C18"/>
  <c r="H18" s="1"/>
  <c r="H12"/>
  <c r="F21" i="2"/>
  <c r="H72" i="7"/>
  <c r="E229" i="26"/>
  <c r="E221"/>
  <c r="F13" i="2"/>
  <c r="H64" i="7"/>
  <c r="H174" i="26"/>
  <c r="H168"/>
  <c r="H169"/>
  <c r="H167"/>
  <c r="H172"/>
  <c r="H162"/>
  <c r="H171"/>
  <c r="H170"/>
  <c r="H157"/>
  <c r="H158"/>
  <c r="H163"/>
  <c r="H165"/>
  <c r="H166"/>
  <c r="H164"/>
  <c r="H161"/>
  <c r="H159"/>
  <c r="F168"/>
  <c r="F169"/>
  <c r="F172"/>
  <c r="F159"/>
  <c r="F165"/>
  <c r="F170"/>
  <c r="F174"/>
  <c r="F167"/>
  <c r="F162"/>
  <c r="F171"/>
  <c r="F160"/>
  <c r="F164"/>
  <c r="F163"/>
  <c r="F166"/>
  <c r="F158"/>
  <c r="F157"/>
  <c r="E220"/>
  <c r="H67" i="7"/>
  <c r="F16" i="2"/>
  <c r="H62" i="7"/>
  <c r="E219" i="26"/>
  <c r="F11" i="2"/>
  <c r="F12" i="9"/>
  <c r="G12"/>
  <c r="H12" s="1"/>
  <c r="F25"/>
  <c r="G25"/>
  <c r="H25" s="1"/>
  <c r="F14"/>
  <c r="G14" s="1"/>
  <c r="H14" s="1"/>
  <c r="F24"/>
  <c r="G24" s="1"/>
  <c r="H24" s="1"/>
  <c r="F20" i="2"/>
  <c r="H71" i="7"/>
  <c r="E228" i="26"/>
  <c r="E230"/>
  <c r="F17" i="2"/>
  <c r="H68" i="7"/>
  <c r="E225" i="26"/>
  <c r="F10" i="2"/>
  <c r="E218" i="26"/>
  <c r="H61" i="7"/>
  <c r="E231" i="26"/>
  <c r="H74" i="7"/>
  <c r="F23" i="2"/>
  <c r="H66" i="7"/>
  <c r="E223" i="26"/>
  <c r="F15" i="2"/>
  <c r="E226" i="26"/>
  <c r="F18" i="2"/>
  <c r="G23" i="9"/>
  <c r="H23" s="1"/>
  <c r="F23"/>
  <c r="G13"/>
  <c r="H13" s="1"/>
  <c r="F13"/>
  <c r="F15"/>
  <c r="G15" s="1"/>
  <c r="H15" s="1"/>
  <c r="F11"/>
  <c r="G11" s="1"/>
  <c r="H11" s="1"/>
  <c r="F22"/>
  <c r="G22" s="1"/>
  <c r="H22" s="1"/>
  <c r="F17"/>
  <c r="G17" s="1"/>
  <c r="H17" s="1"/>
  <c r="C62"/>
  <c r="F9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F10"/>
  <c r="G10" s="1"/>
  <c r="F14" i="5"/>
  <c r="G14" s="1"/>
  <c r="F15"/>
  <c r="G15" s="1"/>
  <c r="H15" s="1"/>
  <c r="F25"/>
  <c r="G25" s="1"/>
  <c r="H25" s="1"/>
  <c r="F19"/>
  <c r="G19" s="1"/>
  <c r="H19" s="1"/>
  <c r="F20"/>
  <c r="G20" s="1"/>
  <c r="H20" s="1"/>
  <c r="G13"/>
  <c r="H13" s="1"/>
  <c r="F13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F6" i="7"/>
  <c r="G6" s="1"/>
  <c r="H6" s="1"/>
  <c r="E27" i="9"/>
  <c r="F5"/>
  <c r="F9" i="7"/>
  <c r="G9" s="1"/>
  <c r="H9" s="1"/>
  <c r="B62" i="26"/>
  <c r="B75" s="1"/>
  <c r="B79" s="1"/>
  <c r="C62"/>
  <c r="F58"/>
  <c r="D62"/>
  <c r="D75" s="1"/>
  <c r="D79" s="1"/>
  <c r="F5" i="7"/>
  <c r="H160" i="26"/>
  <c r="F161"/>
  <c r="F74" i="5"/>
  <c r="G74" s="1"/>
  <c r="F67"/>
  <c r="G67" s="1"/>
  <c r="F71"/>
  <c r="G71" s="1"/>
  <c r="F70"/>
  <c r="G70" s="1"/>
  <c r="F63"/>
  <c r="G63" s="1"/>
  <c r="F62"/>
  <c r="G62" s="1"/>
  <c r="F64"/>
  <c r="G64" s="1"/>
  <c r="E227" i="26"/>
  <c r="H70" i="7"/>
  <c r="F19" i="2"/>
  <c r="F14"/>
  <c r="E222" i="26"/>
  <c r="H65" i="7"/>
  <c r="F19" i="9"/>
  <c r="G19" s="1"/>
  <c r="H19" s="1"/>
  <c r="F21"/>
  <c r="G21" s="1"/>
  <c r="H21" s="1"/>
  <c r="F20"/>
  <c r="G20" s="1"/>
  <c r="H20" s="1"/>
  <c r="F16"/>
  <c r="G16" s="1"/>
  <c r="H16" s="1"/>
  <c r="G18"/>
  <c r="H18" s="1"/>
  <c r="F18"/>
  <c r="F24" i="5"/>
  <c r="G24" s="1"/>
  <c r="H24" s="1"/>
  <c r="F18"/>
  <c r="G18" s="1"/>
  <c r="H18" s="1"/>
  <c r="G22"/>
  <c r="H22" s="1"/>
  <c r="F22"/>
  <c r="G17"/>
  <c r="H17" s="1"/>
  <c r="F17"/>
  <c r="F23"/>
  <c r="G23" s="1"/>
  <c r="H23" s="1"/>
  <c r="F16"/>
  <c r="G16" s="1"/>
  <c r="H16" s="1"/>
  <c r="F21"/>
  <c r="G21" s="1"/>
  <c r="H21" s="1"/>
  <c r="G10" i="7"/>
  <c r="H10" s="1"/>
  <c r="F10"/>
  <c r="G11" i="5"/>
  <c r="H11" s="1"/>
  <c r="F11"/>
  <c r="E27"/>
  <c r="F5"/>
  <c r="G5"/>
  <c r="F69"/>
  <c r="G69" s="1"/>
  <c r="F61"/>
  <c r="G61" s="1"/>
  <c r="F68"/>
  <c r="G68" s="1"/>
  <c r="F65"/>
  <c r="G65" s="1"/>
  <c r="F73"/>
  <c r="G73" s="1"/>
  <c r="F66"/>
  <c r="G66" s="1"/>
  <c r="F72"/>
  <c r="G72" s="1"/>
  <c r="D27"/>
  <c r="F22" i="2" l="1"/>
  <c r="F12"/>
  <c r="D52" i="1"/>
  <c r="B20" i="7"/>
  <c r="C19"/>
  <c r="E19"/>
  <c r="H4" i="17"/>
  <c r="G32" i="10"/>
  <c r="H10" i="9"/>
  <c r="D63" i="26"/>
  <c r="C15" i="2"/>
  <c r="C223" i="26"/>
  <c r="H66" i="5"/>
  <c r="C10" i="2"/>
  <c r="C218" i="26"/>
  <c r="H61" i="5"/>
  <c r="C219" i="26"/>
  <c r="C11" i="2"/>
  <c r="H62" i="5"/>
  <c r="C19" i="2"/>
  <c r="C227" i="26"/>
  <c r="H70" i="5"/>
  <c r="C224" i="26"/>
  <c r="H67" i="5"/>
  <c r="C16" i="2"/>
  <c r="C21"/>
  <c r="C229" i="26"/>
  <c r="H72" i="5"/>
  <c r="C22" i="2"/>
  <c r="C230" i="26"/>
  <c r="H73" i="5"/>
  <c r="H68"/>
  <c r="C225" i="26"/>
  <c r="C17" i="2"/>
  <c r="C18"/>
  <c r="H69" i="5"/>
  <c r="C226" i="26"/>
  <c r="G14" i="2"/>
  <c r="E25" s="1"/>
  <c r="E14"/>
  <c r="F222" i="26"/>
  <c r="E19" i="2"/>
  <c r="F227" i="26"/>
  <c r="G19" i="2"/>
  <c r="C221" i="26"/>
  <c r="H64" i="5"/>
  <c r="C13" i="2"/>
  <c r="C12"/>
  <c r="H63" i="5"/>
  <c r="C220" i="26"/>
  <c r="C228"/>
  <c r="C20" i="2"/>
  <c r="H71" i="5"/>
  <c r="H74"/>
  <c r="C23" i="2"/>
  <c r="C231" i="26"/>
  <c r="C75"/>
  <c r="F62"/>
  <c r="F62" i="9"/>
  <c r="G62" s="1"/>
  <c r="C63"/>
  <c r="G16" i="2"/>
  <c r="E16"/>
  <c r="F224" i="26"/>
  <c r="G13" i="2"/>
  <c r="E13"/>
  <c r="F221" i="26"/>
  <c r="E21" i="2"/>
  <c r="G21"/>
  <c r="F229" i="26"/>
  <c r="F63"/>
  <c r="C67"/>
  <c r="F67" s="1"/>
  <c r="C68"/>
  <c r="F68" s="1"/>
  <c r="C69"/>
  <c r="F69" s="1"/>
  <c r="F27" i="5"/>
  <c r="G5" i="7"/>
  <c r="G5" i="9"/>
  <c r="G9"/>
  <c r="H9" s="1"/>
  <c r="H65" i="5"/>
  <c r="C14" i="2"/>
  <c r="C222" i="26"/>
  <c r="H5" i="5"/>
  <c r="G27"/>
  <c r="F66" i="26"/>
  <c r="H14" i="5"/>
  <c r="B63" i="26"/>
  <c r="E18" i="2"/>
  <c r="G18"/>
  <c r="F226" i="26"/>
  <c r="E15" i="2"/>
  <c r="F223" i="26"/>
  <c r="G15" i="2"/>
  <c r="G23"/>
  <c r="F231" i="26"/>
  <c r="E23" i="2"/>
  <c r="G10"/>
  <c r="E10"/>
  <c r="F218" i="26"/>
  <c r="F225"/>
  <c r="E17" i="2"/>
  <c r="G17"/>
  <c r="E22"/>
  <c r="F230" i="26"/>
  <c r="G22" i="2"/>
  <c r="G20"/>
  <c r="E20"/>
  <c r="F228" i="26"/>
  <c r="F219"/>
  <c r="G11" i="2"/>
  <c r="E11"/>
  <c r="G12"/>
  <c r="E12"/>
  <c r="F220" i="26"/>
  <c r="F61" i="9"/>
  <c r="G61" s="1"/>
  <c r="G64" i="10" l="1"/>
  <c r="I32"/>
  <c r="I64" s="1"/>
  <c r="C20" i="7"/>
  <c r="E20"/>
  <c r="F20" s="1"/>
  <c r="G20" s="1"/>
  <c r="H20" s="1"/>
  <c r="D53" i="1"/>
  <c r="B21" i="7"/>
  <c r="C70" i="26"/>
  <c r="F19" i="7"/>
  <c r="B69" i="26"/>
  <c r="B67"/>
  <c r="B68"/>
  <c r="B66"/>
  <c r="D222"/>
  <c r="B14" i="2"/>
  <c r="D14"/>
  <c r="H5" i="9"/>
  <c r="C64"/>
  <c r="F63"/>
  <c r="G63" s="1"/>
  <c r="D23" i="2"/>
  <c r="B23"/>
  <c r="D231" i="26"/>
  <c r="D230"/>
  <c r="B22" i="2"/>
  <c r="D22"/>
  <c r="D11"/>
  <c r="B11"/>
  <c r="D219" i="26"/>
  <c r="B15" i="2"/>
  <c r="D223" i="26"/>
  <c r="D15" i="2"/>
  <c r="I5" i="5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7" s="1"/>
  <c r="H27"/>
  <c r="H5" i="7"/>
  <c r="I11" i="2"/>
  <c r="G219" i="26"/>
  <c r="H62" i="9"/>
  <c r="F75" i="26"/>
  <c r="F79" s="1"/>
  <c r="C79"/>
  <c r="D20" i="2"/>
  <c r="D228" i="26"/>
  <c r="B20" i="2"/>
  <c r="D220" i="26"/>
  <c r="B12" i="2"/>
  <c r="D12"/>
  <c r="D226" i="26"/>
  <c r="D18" i="2"/>
  <c r="B18"/>
  <c r="D225" i="26"/>
  <c r="B17" i="2"/>
  <c r="D17"/>
  <c r="B21"/>
  <c r="D229" i="26"/>
  <c r="D21" i="2"/>
  <c r="D16"/>
  <c r="D224" i="26"/>
  <c r="B16" i="2"/>
  <c r="D227" i="26"/>
  <c r="B19" i="2"/>
  <c r="D19"/>
  <c r="D10"/>
  <c r="B10"/>
  <c r="D218" i="26"/>
  <c r="F70"/>
  <c r="I10" i="2"/>
  <c r="G218" i="26"/>
  <c r="H61" i="9"/>
  <c r="B13" i="2"/>
  <c r="D221" i="26"/>
  <c r="D13" i="2"/>
  <c r="E24" s="1"/>
  <c r="D67" i="26"/>
  <c r="D68"/>
  <c r="D69"/>
  <c r="D66"/>
  <c r="D70" s="1"/>
  <c r="D54" i="1" l="1"/>
  <c r="B22" i="7"/>
  <c r="M7" i="3"/>
  <c r="M15" s="1"/>
  <c r="I162" i="10"/>
  <c r="I36" i="3" s="1"/>
  <c r="D6" i="9"/>
  <c r="C21" i="7"/>
  <c r="E21"/>
  <c r="F21" s="1"/>
  <c r="G21" s="1"/>
  <c r="G19"/>
  <c r="I5" i="9"/>
  <c r="H218" i="26"/>
  <c r="H10" i="2"/>
  <c r="J10"/>
  <c r="G220" i="26"/>
  <c r="H63" i="9"/>
  <c r="I12" i="2"/>
  <c r="B70" i="26"/>
  <c r="H219"/>
  <c r="H11" i="2"/>
  <c r="J11"/>
  <c r="I5" i="7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F64" i="9"/>
  <c r="G64" s="1"/>
  <c r="C65"/>
  <c r="H21" i="7" l="1"/>
  <c r="D27" i="9"/>
  <c r="F6"/>
  <c r="F27" s="1"/>
  <c r="B23" i="7"/>
  <c r="D55" i="1"/>
  <c r="H19" i="7"/>
  <c r="I19" s="1"/>
  <c r="I20" s="1"/>
  <c r="I21" s="1"/>
  <c r="C22"/>
  <c r="E22"/>
  <c r="I13" i="2"/>
  <c r="H64" i="9"/>
  <c r="G221" i="26"/>
  <c r="H220"/>
  <c r="J12" i="2"/>
  <c r="H12"/>
  <c r="F65" i="9"/>
  <c r="G65" s="1"/>
  <c r="C66"/>
  <c r="C23" i="7" l="1"/>
  <c r="E23"/>
  <c r="F23" s="1"/>
  <c r="G23" s="1"/>
  <c r="H23" s="1"/>
  <c r="F22"/>
  <c r="D56" i="1"/>
  <c r="B25" i="7" s="1"/>
  <c r="B24"/>
  <c r="G6" i="9"/>
  <c r="F66"/>
  <c r="G66" s="1"/>
  <c r="C67"/>
  <c r="H221" i="26"/>
  <c r="H13" i="2"/>
  <c r="J13"/>
  <c r="I14"/>
  <c r="G222" i="26"/>
  <c r="H65" i="9"/>
  <c r="C24" i="7" l="1"/>
  <c r="E24"/>
  <c r="H6" i="9"/>
  <c r="G27"/>
  <c r="C25" i="7"/>
  <c r="C27" s="1"/>
  <c r="E25"/>
  <c r="F25" s="1"/>
  <c r="G25" s="1"/>
  <c r="H25" s="1"/>
  <c r="B27"/>
  <c r="G22"/>
  <c r="H14" i="2"/>
  <c r="H222" i="26"/>
  <c r="J14" i="2"/>
  <c r="C68" i="9"/>
  <c r="F67"/>
  <c r="G67" s="1"/>
  <c r="I15" i="2"/>
  <c r="G223" i="26"/>
  <c r="H66" i="9"/>
  <c r="H22" i="7" l="1"/>
  <c r="G27"/>
  <c r="F24"/>
  <c r="G24" s="1"/>
  <c r="H24" s="1"/>
  <c r="E27"/>
  <c r="H27" i="9"/>
  <c r="I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7" s="1"/>
  <c r="F27" i="7"/>
  <c r="J15" i="2"/>
  <c r="E26" s="1"/>
  <c r="H15"/>
  <c r="H223" i="26"/>
  <c r="C69" i="9"/>
  <c r="F68"/>
  <c r="G68" s="1"/>
  <c r="G224" i="26"/>
  <c r="H67" i="9"/>
  <c r="I16" i="2"/>
  <c r="I22" i="7" l="1"/>
  <c r="I23" s="1"/>
  <c r="I24" s="1"/>
  <c r="I25" s="1"/>
  <c r="I27" s="1"/>
  <c r="H27"/>
  <c r="F69" i="9"/>
  <c r="G69" s="1"/>
  <c r="C70"/>
  <c r="J16" i="2"/>
  <c r="H224" i="26"/>
  <c r="H16" i="2"/>
  <c r="I17"/>
  <c r="H68" i="9"/>
  <c r="G225" i="26"/>
  <c r="F70" i="9" l="1"/>
  <c r="G70" s="1"/>
  <c r="C71"/>
  <c r="H225" i="26"/>
  <c r="H17" i="2"/>
  <c r="J17"/>
  <c r="H69" i="9"/>
  <c r="G226" i="26"/>
  <c r="I18" i="2"/>
  <c r="H18" l="1"/>
  <c r="J18"/>
  <c r="H226" i="26"/>
  <c r="F71" i="9"/>
  <c r="G71" s="1"/>
  <c r="C72"/>
  <c r="H70"/>
  <c r="G227" i="26"/>
  <c r="I19" i="2"/>
  <c r="H19" l="1"/>
  <c r="J19"/>
  <c r="H227" i="26"/>
  <c r="G228"/>
  <c r="H71" i="9"/>
  <c r="I20" i="2"/>
  <c r="C73" i="9"/>
  <c r="F72"/>
  <c r="G72" s="1"/>
  <c r="G229" i="26" l="1"/>
  <c r="I21" i="2"/>
  <c r="H72" i="9"/>
  <c r="F73"/>
  <c r="G73" s="1"/>
  <c r="C74"/>
  <c r="F74" s="1"/>
  <c r="G74" s="1"/>
  <c r="H228" i="26"/>
  <c r="H20" i="2"/>
  <c r="J20"/>
  <c r="G230" i="26" l="1"/>
  <c r="I22" i="2"/>
  <c r="H73" i="9"/>
  <c r="G231" i="26"/>
  <c r="I23" i="2"/>
  <c r="H74" i="9"/>
  <c r="H21" i="2"/>
  <c r="H229" i="26"/>
  <c r="J21" i="2"/>
  <c r="H23" l="1"/>
  <c r="J23"/>
  <c r="H231" i="26"/>
  <c r="H230"/>
  <c r="J22" i="2"/>
  <c r="H22"/>
</calcChain>
</file>

<file path=xl/sharedStrings.xml><?xml version="1.0" encoding="utf-8"?>
<sst xmlns="http://schemas.openxmlformats.org/spreadsheetml/2006/main" count="2388" uniqueCount="715">
  <si>
    <t>Labor Cost/Hr. (no-skill)</t>
  </si>
  <si>
    <t>Cost of Gasoline/Gal</t>
  </si>
  <si>
    <t>Labor Cost/Hr. (skilled)</t>
  </si>
  <si>
    <t>Cost of Diesel/Gal</t>
  </si>
  <si>
    <t>Harvest Piece Rate/Bin</t>
  </si>
  <si>
    <t>Harvest Cost per Lb.</t>
  </si>
  <si>
    <t>Interest Rate on Land</t>
  </si>
  <si>
    <t>Interest Rate on Operating</t>
  </si>
  <si>
    <t>Bulldozer Cost/Hr.</t>
  </si>
  <si>
    <t xml:space="preserve">Cost of Trees-feathered  (per tree) </t>
  </si>
  <si>
    <t>Land Investment / Acre</t>
  </si>
  <si>
    <t>Cost of Wildlife Control/Tree</t>
  </si>
  <si>
    <t>Real Estate Tax / Acre</t>
  </si>
  <si>
    <t>Cost of Mouse Guards/Tree</t>
  </si>
  <si>
    <t>Expected Life of Orchard (years)</t>
  </si>
  <si>
    <t>Custom Planting Cost/Tree</t>
  </si>
  <si>
    <t>Lime Cost/Ton</t>
  </si>
  <si>
    <t>Overhead Misc Costs/acre</t>
  </si>
  <si>
    <t>System Characteristics</t>
  </si>
  <si>
    <t>Central Leader</t>
  </si>
  <si>
    <t>Vertical Axe</t>
  </si>
  <si>
    <t>Tree spacing</t>
  </si>
  <si>
    <t>Row spacing</t>
  </si>
  <si>
    <t>Sq.ft.</t>
  </si>
  <si>
    <t>Trees/acre</t>
  </si>
  <si>
    <t>Rows/acre</t>
  </si>
  <si>
    <t>Tree Height</t>
  </si>
  <si>
    <t>These factors are used universally throughout this spreadsheet.</t>
  </si>
  <si>
    <t>Yields</t>
  </si>
  <si>
    <t>The yield for different systems @ 42# bushels.</t>
  </si>
  <si>
    <t>Year</t>
  </si>
  <si>
    <t>The yields of each system is based on grower survey at the time this cost study was completed.</t>
  </si>
  <si>
    <t>Some believe that a more realistic yield for the central leader system should be 700 bushel per acre.</t>
  </si>
  <si>
    <t>Effect of varing yield.</t>
  </si>
  <si>
    <t>This chart is based on Mature Bearing Years for each system.</t>
  </si>
  <si>
    <t>Bin costs based on 850 lb bins.</t>
  </si>
  <si>
    <t>Yield</t>
  </si>
  <si>
    <t>Cost</t>
  </si>
  <si>
    <t xml:space="preserve"> /Acre</t>
  </si>
  <si>
    <t xml:space="preserve"> /Bin</t>
  </si>
  <si>
    <t xml:space="preserve"> /Bushel</t>
  </si>
  <si>
    <t xml:space="preserve"> /lb.</t>
  </si>
  <si>
    <t>Sales Price /lb.</t>
  </si>
  <si>
    <t>Unskilled Labor Cost</t>
  </si>
  <si>
    <t>Summaries</t>
  </si>
  <si>
    <t>Costs Per Acre</t>
  </si>
  <si>
    <t>Activity</t>
  </si>
  <si>
    <t>Labor</t>
  </si>
  <si>
    <t>Equipment</t>
  </si>
  <si>
    <t>Total</t>
  </si>
  <si>
    <t>hours</t>
  </si>
  <si>
    <t>cost</t>
  </si>
  <si>
    <t>Price</t>
  </si>
  <si>
    <t>Potential Profit for Central Leader</t>
  </si>
  <si>
    <t>Bushel</t>
  </si>
  <si>
    <t>Gross</t>
  </si>
  <si>
    <t>Annual</t>
  </si>
  <si>
    <t>Harvest</t>
  </si>
  <si>
    <t>Accum</t>
  </si>
  <si>
    <t>Income</t>
  </si>
  <si>
    <t>Costs</t>
  </si>
  <si>
    <t>Interest</t>
  </si>
  <si>
    <t>Profit</t>
  </si>
  <si>
    <t>This chart is based on Year 8, Mature Bearing Year.</t>
  </si>
  <si>
    <t>Growing</t>
  </si>
  <si>
    <t>Year 0,  Site Preparation Cost.</t>
  </si>
  <si>
    <t>Material</t>
  </si>
  <si>
    <t>Other</t>
  </si>
  <si>
    <t>Tiling</t>
  </si>
  <si>
    <t>Bulldoze old trees</t>
  </si>
  <si>
    <t>Lime (3 ton)</t>
  </si>
  <si>
    <t>Real Estate Tax</t>
  </si>
  <si>
    <t>Management</t>
  </si>
  <si>
    <t>The central leader orchard remains non-bearing for years 1 through 3.  The 1st crop is produced in the 4th year and the orchard</t>
  </si>
  <si>
    <t>becomes full bearing in the 8th year.  A reduced spray program is followed during the 2nd through 6th year.  A full bearing spray</t>
  </si>
  <si>
    <t>program is followed starting in year 7.</t>
  </si>
  <si>
    <t>Year 1, Planting Year.</t>
  </si>
  <si>
    <t>Ground Preparation</t>
  </si>
  <si>
    <t>80hp tractor</t>
  </si>
  <si>
    <t>Plow</t>
  </si>
  <si>
    <t>Disc</t>
  </si>
  <si>
    <t>Pick stone &amp; roots</t>
  </si>
  <si>
    <t>Planting Trees</t>
  </si>
  <si>
    <t>Layout</t>
  </si>
  <si>
    <t>Marking</t>
  </si>
  <si>
    <t>Purchase trees</t>
  </si>
  <si>
    <t>Custom Plant @ .30 /tree</t>
  </si>
  <si>
    <t>Watering Trees</t>
  </si>
  <si>
    <t>40 hp tractor</t>
  </si>
  <si>
    <t>Training</t>
  </si>
  <si>
    <t>Pruning</t>
  </si>
  <si>
    <t>Nematode Control</t>
  </si>
  <si>
    <t>Herbicide Program</t>
  </si>
  <si>
    <t>Weed sprayer</t>
  </si>
  <si>
    <t>Spray Program</t>
  </si>
  <si>
    <t>80 hp tractor</t>
  </si>
  <si>
    <t>Airblast spr.</t>
  </si>
  <si>
    <t>Fertilize</t>
  </si>
  <si>
    <t>Vicon Spreader</t>
  </si>
  <si>
    <t>Sod Establishment</t>
  </si>
  <si>
    <t>Spreader</t>
  </si>
  <si>
    <t>Cultipack</t>
  </si>
  <si>
    <t>Drag</t>
  </si>
  <si>
    <t>Mowing</t>
  </si>
  <si>
    <t>Mower</t>
  </si>
  <si>
    <t>Mouse control</t>
  </si>
  <si>
    <t xml:space="preserve">Mouse guards </t>
  </si>
  <si>
    <t>Wildlife Control</t>
  </si>
  <si>
    <t>Scouting</t>
  </si>
  <si>
    <t>Bees</t>
  </si>
  <si>
    <t>Brush Removal</t>
  </si>
  <si>
    <t>Tree replacement</t>
  </si>
  <si>
    <t>Fertilizer</t>
  </si>
  <si>
    <t>Trickle irrigation</t>
  </si>
  <si>
    <t>Lime</t>
  </si>
  <si>
    <t>Trickle Irrigation</t>
  </si>
  <si>
    <t>Lime (1 tons)</t>
  </si>
  <si>
    <t>Potential Profit for Vertical Axe</t>
  </si>
  <si>
    <t>This chart is based on Year 6, Mature Bearing Year.</t>
  </si>
  <si>
    <t>The vertical axe orchard remains non-bearing for years 1 through 3.  The 1st crop is produced in the 4th year and the orchard</t>
  </si>
  <si>
    <t>become full bearing in the 6th year.  A reduced spray program is followed during the 2nd through 4th year.  A full bearing spray</t>
  </si>
  <si>
    <t>program is followed starting in year 5.</t>
  </si>
  <si>
    <t>System</t>
  </si>
  <si>
    <t xml:space="preserve">Trellis </t>
  </si>
  <si>
    <t>become full bearing in the 4th year.  A reduced spray program is followed only during the 1st year.  A full bearing spray</t>
  </si>
  <si>
    <t>program is followed starting in year 2.</t>
  </si>
  <si>
    <t>Manhours</t>
  </si>
  <si>
    <t>Piece</t>
  </si>
  <si>
    <t>Picked</t>
  </si>
  <si>
    <t xml:space="preserve"> /Season</t>
  </si>
  <si>
    <t>Rate</t>
  </si>
  <si>
    <t>Earnings</t>
  </si>
  <si>
    <t xml:space="preserve"> /Hour</t>
  </si>
  <si>
    <t xml:space="preserve"> /Worker</t>
  </si>
  <si>
    <t>Harvest Cost Summary</t>
  </si>
  <si>
    <t xml:space="preserve"> Cost</t>
  </si>
  <si>
    <t xml:space="preserve"> /lb</t>
  </si>
  <si>
    <t>Housing Cost</t>
  </si>
  <si>
    <t>Potable Toilets</t>
  </si>
  <si>
    <t>Harvest Supervision</t>
  </si>
  <si>
    <t>Hauling Bins Out of Orchard</t>
  </si>
  <si>
    <t>Bin Rent</t>
  </si>
  <si>
    <t>This farm example has a migrant camp (cost $50,000) that is used 13 weeks per year.  It houses 20 people</t>
  </si>
  <si>
    <t>Migrant Housing</t>
  </si>
  <si>
    <t>Basis</t>
  </si>
  <si>
    <t>Years Life</t>
  </si>
  <si>
    <t>Cost/year</t>
  </si>
  <si>
    <t>Camp</t>
  </si>
  <si>
    <t xml:space="preserve"> /Month</t>
  </si>
  <si>
    <t xml:space="preserve"> /Week</t>
  </si>
  <si>
    <t>Migrant Housing Depreciation</t>
  </si>
  <si>
    <t>Repairs</t>
  </si>
  <si>
    <t>Heat &amp; cooking</t>
  </si>
  <si>
    <t>Electric</t>
  </si>
  <si>
    <t>Central facilities</t>
  </si>
  <si>
    <t>Waste</t>
  </si>
  <si>
    <t>Total Camp Cost</t>
  </si>
  <si>
    <t>Portable Toilets Costs</t>
  </si>
  <si>
    <t>per hour per worker</t>
  </si>
  <si>
    <t>Total Harvest Cost</t>
  </si>
  <si>
    <t>Piece Rate</t>
  </si>
  <si>
    <t>Labor Taxes and Costs</t>
  </si>
  <si>
    <t>Total Harvest Cost per Bin</t>
  </si>
  <si>
    <t>Mouse and Wildlife Control</t>
  </si>
  <si>
    <t xml:space="preserve">      Central Leader</t>
  </si>
  <si>
    <t xml:space="preserve">        Vertical Axe</t>
  </si>
  <si>
    <t xml:space="preserve">  Mouse Control</t>
  </si>
  <si>
    <t>Time</t>
  </si>
  <si>
    <t>Percent</t>
  </si>
  <si>
    <t>Applied</t>
  </si>
  <si>
    <t>Application every other row with Vicon spreader @ 10# Bait per acre.</t>
  </si>
  <si>
    <t>$/#</t>
  </si>
  <si>
    <t>Rate/Acre</t>
  </si>
  <si>
    <t>Cost/Acre</t>
  </si>
  <si>
    <t>Mouse Bait</t>
  </si>
  <si>
    <t>50#</t>
  </si>
  <si>
    <t>Wildlife control</t>
  </si>
  <si>
    <t>Ribbons, Soap, etc.</t>
  </si>
  <si>
    <t>Cost/Tree</t>
  </si>
  <si>
    <t>Apps &amp; Timing</t>
  </si>
  <si>
    <t>Pests</t>
  </si>
  <si>
    <t>Rate Used</t>
  </si>
  <si>
    <t>Total Cost/Acre</t>
  </si>
  <si>
    <t>Nova</t>
  </si>
  <si>
    <t>oz</t>
  </si>
  <si>
    <t xml:space="preserve">Total </t>
  </si>
  <si>
    <t>Green Tip</t>
  </si>
  <si>
    <t>AS, FB</t>
  </si>
  <si>
    <t>Oil</t>
  </si>
  <si>
    <t>gal</t>
  </si>
  <si>
    <t>Tight Cluster</t>
  </si>
  <si>
    <t>AS, PM</t>
  </si>
  <si>
    <t>Pink</t>
  </si>
  <si>
    <t>Bloom</t>
  </si>
  <si>
    <t>FB</t>
  </si>
  <si>
    <t xml:space="preserve">Petal Fall </t>
  </si>
  <si>
    <t>6th Cover</t>
  </si>
  <si>
    <t>1/2" Green</t>
  </si>
  <si>
    <t xml:space="preserve">AS </t>
  </si>
  <si>
    <t>SJS, RA, OBLR</t>
  </si>
  <si>
    <t>Lorsban 4E</t>
  </si>
  <si>
    <t>qt</t>
  </si>
  <si>
    <t>Type</t>
  </si>
  <si>
    <t>Promalin</t>
  </si>
  <si>
    <t>pt</t>
  </si>
  <si>
    <t>1st Cover</t>
  </si>
  <si>
    <t>PC,CM</t>
  </si>
  <si>
    <t>Captan 50W</t>
  </si>
  <si>
    <t>Thinning</t>
  </si>
  <si>
    <t>Sevin XLR</t>
  </si>
  <si>
    <t>2nd Cover</t>
  </si>
  <si>
    <t>CM, SJS</t>
  </si>
  <si>
    <t>3rd Cover</t>
  </si>
  <si>
    <t>4th Cover</t>
  </si>
  <si>
    <t>5th Cover</t>
  </si>
  <si>
    <t>Prebloom</t>
  </si>
  <si>
    <t>Boron</t>
  </si>
  <si>
    <t>lb</t>
  </si>
  <si>
    <t>Complete Foliar</t>
  </si>
  <si>
    <t>20-20-20</t>
  </si>
  <si>
    <t>Calcium Sprays</t>
  </si>
  <si>
    <t>Cost of pesticide and foliar fertilizer materials applied per acre per season.</t>
  </si>
  <si>
    <t>Program</t>
  </si>
  <si>
    <t># of trips</t>
  </si>
  <si>
    <t>Hours</t>
  </si>
  <si>
    <t>E.O.R.</t>
  </si>
  <si>
    <t>Planting Year</t>
  </si>
  <si>
    <t>Early Cropping</t>
  </si>
  <si>
    <t>Full Program</t>
  </si>
  <si>
    <t>Trip Time</t>
  </si>
  <si>
    <t>Row</t>
  </si>
  <si>
    <t xml:space="preserve"> % of</t>
  </si>
  <si>
    <t>Acres</t>
  </si>
  <si>
    <t>Spacing</t>
  </si>
  <si>
    <t>C.L.</t>
  </si>
  <si>
    <t xml:space="preserve"> /Tank</t>
  </si>
  <si>
    <t>Herbicide Strip</t>
  </si>
  <si>
    <t>Width</t>
  </si>
  <si>
    <t>Soft</t>
  </si>
  <si>
    <t>Standard</t>
  </si>
  <si>
    <t>Hours to apply</t>
  </si>
  <si>
    <t>2 Trips</t>
  </si>
  <si>
    <t>Soft Early Years Program</t>
  </si>
  <si>
    <t>Trips</t>
  </si>
  <si>
    <t>Standard Program</t>
  </si>
  <si>
    <t>Fertilizer Program</t>
  </si>
  <si>
    <t>Cost/Ton</t>
  </si>
  <si>
    <t>Urea</t>
  </si>
  <si>
    <t>Potash</t>
  </si>
  <si>
    <t xml:space="preserve">Rate </t>
  </si>
  <si>
    <t>oz/tree</t>
  </si>
  <si>
    <t xml:space="preserve"> #/acre</t>
  </si>
  <si>
    <t>Cost/acre</t>
  </si>
  <si>
    <t>Application Time of Fertilizer</t>
  </si>
  <si>
    <t>The time it takes to apply the fertilizer program per acre per season with vicon spreader.</t>
  </si>
  <si>
    <t xml:space="preserve"> /Load</t>
  </si>
  <si>
    <t>Support System</t>
  </si>
  <si>
    <t>Trellis System</t>
  </si>
  <si>
    <t>Vertical Axe System</t>
  </si>
  <si>
    <t>Rows</t>
  </si>
  <si>
    <t>Quanity</t>
  </si>
  <si>
    <t>per row</t>
  </si>
  <si>
    <t>#12 high tensil wire</t>
  </si>
  <si>
    <t>per foot</t>
  </si>
  <si>
    <t>Wire vise anchors</t>
  </si>
  <si>
    <t>each</t>
  </si>
  <si>
    <t>Tree ties</t>
  </si>
  <si>
    <t>Total cost per acre</t>
  </si>
  <si>
    <t>per tree</t>
  </si>
  <si>
    <t>Drip Irrigation System</t>
  </si>
  <si>
    <t>Item</t>
  </si>
  <si>
    <t>Total Cost</t>
  </si>
  <si>
    <t>Ram tubing</t>
  </si>
  <si>
    <t>Main 3"</t>
  </si>
  <si>
    <t>Sub main 2"</t>
  </si>
  <si>
    <t>Custom trenching</t>
  </si>
  <si>
    <t>Fittings &amp; misc.</t>
  </si>
  <si>
    <t>Well</t>
  </si>
  <si>
    <t>Controller</t>
  </si>
  <si>
    <t>per 10 acres</t>
  </si>
  <si>
    <t>The time it takes mow per acre per season.</t>
  </si>
  <si>
    <t># of time</t>
  </si>
  <si>
    <t>mowed</t>
  </si>
  <si>
    <t>of time</t>
  </si>
  <si>
    <t>completed</t>
  </si>
  <si>
    <t>Training Time and Materials</t>
  </si>
  <si>
    <t>The time it takes to prune and train trees per acre per season with unskilled labor.</t>
  </si>
  <si>
    <t>Pruning Time and Equipment</t>
  </si>
  <si>
    <t>The time it takes to prune trees per acre per season with unskilled labor.</t>
  </si>
  <si>
    <t>Minutes</t>
  </si>
  <si>
    <t xml:space="preserve"> /Tree</t>
  </si>
  <si>
    <t>Equipment Cost</t>
  </si>
  <si>
    <t>Gal.</t>
  </si>
  <si>
    <t>Fuel</t>
  </si>
  <si>
    <t>Repair</t>
  </si>
  <si>
    <t>Index</t>
  </si>
  <si>
    <t>Years</t>
  </si>
  <si>
    <t>fuel</t>
  </si>
  <si>
    <t>used</t>
  </si>
  <si>
    <t>&amp;</t>
  </si>
  <si>
    <t>annual</t>
  </si>
  <si>
    <t>of</t>
  </si>
  <si>
    <t>per</t>
  </si>
  <si>
    <t>Code</t>
  </si>
  <si>
    <t>life</t>
  </si>
  <si>
    <t>depr.</t>
  </si>
  <si>
    <t>/hr.</t>
  </si>
  <si>
    <t>/year</t>
  </si>
  <si>
    <t>main.</t>
  </si>
  <si>
    <t>costs</t>
  </si>
  <si>
    <t>use</t>
  </si>
  <si>
    <t>hour</t>
  </si>
  <si>
    <t xml:space="preserve"> /hour</t>
  </si>
  <si>
    <t>Pick-up</t>
  </si>
  <si>
    <t>Tractor 80 hp diesel</t>
  </si>
  <si>
    <t>Tractor 40 hp diesel</t>
  </si>
  <si>
    <t>Sprayer, airblast</t>
  </si>
  <si>
    <t>Sprayer, weed</t>
  </si>
  <si>
    <t>Fert. Spreader, 3 pt.</t>
  </si>
  <si>
    <t>(Vicon)</t>
  </si>
  <si>
    <t>Mower, Rotary</t>
  </si>
  <si>
    <t xml:space="preserve">Spring tooth </t>
  </si>
  <si>
    <t>Harrow or Drag</t>
  </si>
  <si>
    <t>Tree planter</t>
  </si>
  <si>
    <t>Cultipacker</t>
  </si>
  <si>
    <t>Water tank</t>
  </si>
  <si>
    <t>Engine to pump water (not used).</t>
  </si>
  <si>
    <t>Dump truck</t>
  </si>
  <si>
    <t>Truck, Flat bed</t>
  </si>
  <si>
    <t>Drip Irrigation</t>
  </si>
  <si>
    <t>Pruner, Browie</t>
  </si>
  <si>
    <t>Check fuel</t>
  </si>
  <si>
    <t>Bin Hauler</t>
  </si>
  <si>
    <t>Rent</t>
  </si>
  <si>
    <t>Bins</t>
  </si>
  <si>
    <t>Out Buildings</t>
  </si>
  <si>
    <t>Equip Barn (40x60)</t>
  </si>
  <si>
    <t>Pesticide Storage</t>
  </si>
  <si>
    <t>Tall Spindle</t>
  </si>
  <si>
    <t>Definition</t>
  </si>
  <si>
    <t>Density</t>
  </si>
  <si>
    <t>Low</t>
  </si>
  <si>
    <t>Medium</t>
  </si>
  <si>
    <t>High</t>
  </si>
  <si>
    <t>6x14</t>
  </si>
  <si>
    <t>4x12</t>
  </si>
  <si>
    <t>3x11</t>
  </si>
  <si>
    <t>0-50-30</t>
  </si>
  <si>
    <t>Covers &amp; Timing</t>
  </si>
  <si>
    <t>% Farm Treated</t>
  </si>
  <si>
    <t>Post-Harvest</t>
  </si>
  <si>
    <t>EG-615</t>
  </si>
  <si>
    <t>Foliar Nutrient Sprays</t>
  </si>
  <si>
    <t>N, B, Zn</t>
  </si>
  <si>
    <t>TRV Calculations</t>
  </si>
  <si>
    <t>Tree</t>
  </si>
  <si>
    <t>Heigth</t>
  </si>
  <si>
    <t>The Tall Spindle orchard remains non-bearing for the 1st year..  The 1st crop is produced in the 2nd year and the orchard</t>
  </si>
  <si>
    <t>Potential Profit for Tall Spindle</t>
  </si>
  <si>
    <t>Tall Spindle System</t>
  </si>
  <si>
    <t>mph</t>
  </si>
  <si>
    <t>/hr</t>
  </si>
  <si>
    <t>Deer Fence</t>
  </si>
  <si>
    <t>2 years treated</t>
  </si>
  <si>
    <t>8.5 acres/hour</t>
  </si>
  <si>
    <t>Then no more</t>
  </si>
  <si>
    <t>3#</t>
  </si>
  <si>
    <t>Pellets</t>
  </si>
  <si>
    <t>Fabric Softeners</t>
  </si>
  <si>
    <t>200/acre</t>
  </si>
  <si>
    <t>Screw Achors</t>
  </si>
  <si>
    <t>175 acre</t>
  </si>
  <si>
    <t>20 hours</t>
  </si>
  <si>
    <t>Row Length</t>
  </si>
  <si>
    <t>Gripples</t>
  </si>
  <si>
    <t>Crimps</t>
  </si>
  <si>
    <t xml:space="preserve"> /foot</t>
  </si>
  <si>
    <t>rows</t>
  </si>
  <si>
    <t>row length</t>
  </si>
  <si>
    <t>Rows /acre</t>
  </si>
  <si>
    <t>feet /acre</t>
  </si>
  <si>
    <t>posts</t>
  </si>
  <si>
    <t>achors</t>
  </si>
  <si>
    <t>trees /acre</t>
  </si>
  <si>
    <t>every 50'</t>
  </si>
  <si>
    <t>5" tops, 12' CCA posts</t>
  </si>
  <si>
    <t>Cost/tree</t>
  </si>
  <si>
    <t>feet</t>
  </si>
  <si>
    <t xml:space="preserve"> /acre</t>
  </si>
  <si>
    <t xml:space="preserve"> of sub main and main and trenching</t>
  </si>
  <si>
    <t>acres covered</t>
  </si>
  <si>
    <t>new 6" well</t>
  </si>
  <si>
    <t>35 workers/ 200 acres</t>
  </si>
  <si>
    <t>Seasonal Weeks Used</t>
  </si>
  <si>
    <t>People /Camp</t>
  </si>
  <si>
    <t>Workers /Camp</t>
  </si>
  <si>
    <t>Weeks Picking</t>
  </si>
  <si>
    <t>Manhours /Season</t>
  </si>
  <si>
    <t>Camp Cost /Man Hour</t>
  </si>
  <si>
    <t>Camp Cost /Bushel</t>
  </si>
  <si>
    <t xml:space="preserve"> /Man Hour</t>
  </si>
  <si>
    <t>Harvest Worker Pay Costs</t>
  </si>
  <si>
    <t>3 portable toilets/ 200 acres</t>
  </si>
  <si>
    <t>2 men /hour / tie trees</t>
  </si>
  <si>
    <t>Deer Fence Installed</t>
  </si>
  <si>
    <t>acres</t>
  </si>
  <si>
    <t>total feet</t>
  </si>
  <si>
    <t>total cost</t>
  </si>
  <si>
    <t>% of acreage</t>
  </si>
  <si>
    <t>per acre</t>
  </si>
  <si>
    <t>Crop Insurance /Acre</t>
  </si>
  <si>
    <t>Frost Fans</t>
  </si>
  <si>
    <t>$30000/200 acres</t>
  </si>
  <si>
    <t>$30000/100 acres</t>
  </si>
  <si>
    <t>4 Wheeler</t>
  </si>
  <si>
    <t>Snow Plow</t>
  </si>
  <si>
    <t>Straight Ladder</t>
  </si>
  <si>
    <t>Step Ladder</t>
  </si>
  <si>
    <t>Picking Bag</t>
  </si>
  <si>
    <t>Chisel Plow</t>
  </si>
  <si>
    <t>Lift Tractor</t>
  </si>
  <si>
    <t>Brush Chopper</t>
  </si>
  <si>
    <t>Brush Sweeper</t>
  </si>
  <si>
    <t>i=insecticide</t>
  </si>
  <si>
    <t>d=disease material</t>
  </si>
  <si>
    <t>h=herbicide</t>
  </si>
  <si>
    <t>pgr=plant growth regulator</t>
  </si>
  <si>
    <t>f=fertilizer</t>
  </si>
  <si>
    <t>Product</t>
  </si>
  <si>
    <t>Pkg Size</t>
  </si>
  <si>
    <t>Rate/  Acre</t>
  </si>
  <si>
    <t>Unit</t>
  </si>
  <si>
    <t>Average Price per acre</t>
  </si>
  <si>
    <t>i</t>
  </si>
  <si>
    <t>Actara</t>
  </si>
  <si>
    <t>30 oz</t>
  </si>
  <si>
    <t>Agrimek</t>
  </si>
  <si>
    <t>1 gal</t>
  </si>
  <si>
    <t>d</t>
  </si>
  <si>
    <t>Agri-Mycin 17</t>
  </si>
  <si>
    <t>2 lb</t>
  </si>
  <si>
    <t>h</t>
  </si>
  <si>
    <t>Aim EW</t>
  </si>
  <si>
    <t>1 qt</t>
  </si>
  <si>
    <t>Altachor</t>
  </si>
  <si>
    <t>Alliette 80 WDG</t>
  </si>
  <si>
    <t>5 lb</t>
  </si>
  <si>
    <t>pgr</t>
  </si>
  <si>
    <t>Amid-Thin WC</t>
  </si>
  <si>
    <t>1 lb</t>
  </si>
  <si>
    <t>Amine 2,4-D</t>
  </si>
  <si>
    <t>2.5 gal</t>
  </si>
  <si>
    <t>Apogee</t>
  </si>
  <si>
    <t>Applause DF</t>
  </si>
  <si>
    <t>25 lb</t>
  </si>
  <si>
    <t>Apollo SC</t>
  </si>
  <si>
    <t>1 pt</t>
  </si>
  <si>
    <t>Asana</t>
  </si>
  <si>
    <t>Assail 30SG</t>
  </si>
  <si>
    <t>32 oz</t>
  </si>
  <si>
    <t>Avaunt</t>
  </si>
  <si>
    <t>15 oz</t>
  </si>
  <si>
    <t>Azinphos-M</t>
  </si>
  <si>
    <t>Battalion</t>
  </si>
  <si>
    <t>Baythroid XL</t>
  </si>
  <si>
    <t>Biocover MLT</t>
  </si>
  <si>
    <t>55 gal</t>
  </si>
  <si>
    <t>bulk</t>
  </si>
  <si>
    <t>Calypso</t>
  </si>
  <si>
    <t>30 lb</t>
  </si>
  <si>
    <t>Captan 80WDG</t>
  </si>
  <si>
    <t>Captec 4L</t>
  </si>
  <si>
    <t>Carbryl 4L</t>
  </si>
  <si>
    <t>Carpovirusine</t>
  </si>
  <si>
    <t>1 liter</t>
  </si>
  <si>
    <t>Chateau WDG</t>
  </si>
  <si>
    <t>2.5 lb</t>
  </si>
  <si>
    <t>C-O-C-S</t>
  </si>
  <si>
    <t>20 lb</t>
  </si>
  <si>
    <t>Confirm 2F</t>
  </si>
  <si>
    <t>Damoil</t>
  </si>
  <si>
    <t>Danitol</t>
  </si>
  <si>
    <t>Delegate</t>
  </si>
  <si>
    <t>26 oz</t>
  </si>
  <si>
    <t>Deliver</t>
  </si>
  <si>
    <t>Dipel</t>
  </si>
  <si>
    <t>Dithane</t>
  </si>
  <si>
    <t>Diuron 4L</t>
  </si>
  <si>
    <t>Diuron 80 DF</t>
  </si>
  <si>
    <t>Elite DF</t>
  </si>
  <si>
    <t>Envidor 2SC</t>
  </si>
  <si>
    <t>Firewall</t>
  </si>
  <si>
    <t>Flamout</t>
  </si>
  <si>
    <t>Flint</t>
  </si>
  <si>
    <t>20 oz</t>
  </si>
  <si>
    <t>Fruitone L</t>
  </si>
  <si>
    <t>Fruitone N</t>
  </si>
  <si>
    <t>1.25 lb</t>
  </si>
  <si>
    <t>Fugimite 5 EC</t>
  </si>
  <si>
    <t>Gem SC 500</t>
  </si>
  <si>
    <t>Gramoxone Inteon</t>
  </si>
  <si>
    <t>Guthion WSB</t>
  </si>
  <si>
    <t>Imidan 70 WSB</t>
  </si>
  <si>
    <t>4 lb</t>
  </si>
  <si>
    <t>Indar</t>
  </si>
  <si>
    <t>Initiate 720</t>
  </si>
  <si>
    <t>Intrepid</t>
  </si>
  <si>
    <t>Isomate C+</t>
  </si>
  <si>
    <t>ea</t>
  </si>
  <si>
    <t>Isomate CTT</t>
  </si>
  <si>
    <t>Lannate SP</t>
  </si>
  <si>
    <t>Lorsban 75 WDG</t>
  </si>
  <si>
    <t>6.65 lb</t>
  </si>
  <si>
    <t>Makaze</t>
  </si>
  <si>
    <t>Maxcel</t>
  </si>
  <si>
    <t>50 lb</t>
  </si>
  <si>
    <t>Mycoshield</t>
  </si>
  <si>
    <t>Nexter</t>
  </si>
  <si>
    <t>33 oz</t>
  </si>
  <si>
    <t>Orbit</t>
  </si>
  <si>
    <t>Penncozeb DF</t>
  </si>
  <si>
    <t>Permethrin 3.2</t>
  </si>
  <si>
    <t>Polyram</t>
  </si>
  <si>
    <t>Portal</t>
  </si>
  <si>
    <t>Prey 1.6 F</t>
  </si>
  <si>
    <t>Pristine</t>
  </si>
  <si>
    <t>6.25 lb</t>
  </si>
  <si>
    <t>Proaxis</t>
  </si>
  <si>
    <t>Proclaim</t>
  </si>
  <si>
    <t>19.2 oz</t>
  </si>
  <si>
    <t>Provado 1.6 F</t>
  </si>
  <si>
    <t>Provide 10 SG</t>
  </si>
  <si>
    <t>100 gr</t>
  </si>
  <si>
    <t>gr</t>
  </si>
  <si>
    <t>Prowl H2O</t>
  </si>
  <si>
    <t>Retain</t>
  </si>
  <si>
    <t>333 gr</t>
  </si>
  <si>
    <t>Ridomil Gold SL</t>
  </si>
  <si>
    <t>Rimon</t>
  </si>
  <si>
    <t>Roundup Powermax</t>
  </si>
  <si>
    <t>Roundup Weather Max</t>
  </si>
  <si>
    <t>Rubigan</t>
  </si>
  <si>
    <t>Saber</t>
  </si>
  <si>
    <t>Savey 50 DF</t>
  </si>
  <si>
    <t>12 oz</t>
  </si>
  <si>
    <t>Scala</t>
  </si>
  <si>
    <t>0.5 gal</t>
  </si>
  <si>
    <t>Serenade Max</t>
  </si>
  <si>
    <t>12 lb</t>
  </si>
  <si>
    <t>Sevin 80S</t>
  </si>
  <si>
    <t>10 lb</t>
  </si>
  <si>
    <t>Simazine 4L</t>
  </si>
  <si>
    <t>Sinbar</t>
  </si>
  <si>
    <t>Solicam DF</t>
  </si>
  <si>
    <t>Sonata</t>
  </si>
  <si>
    <t>Sovran</t>
  </si>
  <si>
    <t>Spintor</t>
  </si>
  <si>
    <t>Sprayable Phermone GPTB</t>
  </si>
  <si>
    <t>Sprayable Phermone LPTB</t>
  </si>
  <si>
    <t>Sprayable Phermone Leafroller</t>
  </si>
  <si>
    <t>Sulfur Micro 90W</t>
  </si>
  <si>
    <t>Surflan AS</t>
  </si>
  <si>
    <t>Syllit 3.4FL</t>
  </si>
  <si>
    <t>2 gal</t>
  </si>
  <si>
    <t>Thiodan 50W</t>
  </si>
  <si>
    <t>Thiolux DF</t>
  </si>
  <si>
    <t>Tombstone Helios</t>
  </si>
  <si>
    <t>Topsin M</t>
  </si>
  <si>
    <t>Vanguard</t>
  </si>
  <si>
    <t>50 oz</t>
  </si>
  <si>
    <t>Warhawk</t>
  </si>
  <si>
    <t>Warrior</t>
  </si>
  <si>
    <t>Zeal</t>
  </si>
  <si>
    <t>14 oz</t>
  </si>
  <si>
    <t>Zeal (6x2 oz bag)</t>
  </si>
  <si>
    <t>Ziram DF</t>
  </si>
  <si>
    <t>40 lb</t>
  </si>
  <si>
    <t>f</t>
  </si>
  <si>
    <t>Calcium 10% (1.25# Cal/gal)</t>
  </si>
  <si>
    <t>Calflow (3.32#/gal)</t>
  </si>
  <si>
    <t>Zinc 25% Citriplex</t>
  </si>
  <si>
    <t>Borosol 10 (1.1#/gal)</t>
  </si>
  <si>
    <t>Foliar Feed II (16-8-3 + micros)</t>
  </si>
  <si>
    <t>Nuta Leaf 20-20-20</t>
  </si>
  <si>
    <t>Prosol 20-20-20</t>
  </si>
  <si>
    <t>N-PACT 26-0-0</t>
  </si>
  <si>
    <t>Star Phite</t>
  </si>
  <si>
    <t>Rampart</t>
  </si>
  <si>
    <t>Black Label</t>
  </si>
  <si>
    <t>Black Jack Zn</t>
  </si>
  <si>
    <t>Solubor DF</t>
  </si>
  <si>
    <t>STLM, OBLR</t>
  </si>
  <si>
    <t>KBPF</t>
  </si>
  <si>
    <t>Shoot Blight, PGR</t>
  </si>
  <si>
    <t>PC, OBLR</t>
  </si>
  <si>
    <t>Mites</t>
  </si>
  <si>
    <t>CM</t>
  </si>
  <si>
    <t>Pheromone</t>
  </si>
  <si>
    <t>Cropping</t>
  </si>
  <si>
    <t>AS, Sum Dis.</t>
  </si>
  <si>
    <t>Sum Dis.</t>
  </si>
  <si>
    <t>OBLR, Jap B</t>
  </si>
  <si>
    <t>CM, OBLR, Jap B</t>
  </si>
  <si>
    <t>7th Cover</t>
  </si>
  <si>
    <t>AM, CM, Jap B</t>
  </si>
  <si>
    <t>Stop Drop</t>
  </si>
  <si>
    <t>Postbloom</t>
  </si>
  <si>
    <t>Virosoft</t>
  </si>
  <si>
    <t>Total Spray Program Cost</t>
  </si>
  <si>
    <t>Tree Width</t>
  </si>
  <si>
    <t>Row Length/Acre</t>
  </si>
  <si>
    <t>Program Applied</t>
  </si>
  <si>
    <t>Cost /Acre</t>
  </si>
  <si>
    <t>% of Full Program</t>
  </si>
  <si>
    <t>Descrip.</t>
  </si>
  <si>
    <t>Non-Bearing</t>
  </si>
  <si>
    <t>#</t>
  </si>
  <si>
    <t>Price/Unit</t>
  </si>
  <si>
    <t>Total material cost per treated acre</t>
  </si>
  <si>
    <t>Total Spray Trips</t>
  </si>
  <si>
    <t>Equipment used is a Brownie hydralic pruners or a pnuematic pruners.</t>
  </si>
  <si>
    <t>Total Foliar Program</t>
  </si>
  <si>
    <t>All of these applications trips are already included in the Spray Program above.</t>
  </si>
  <si>
    <t>Spray Time to treat 1 acre for 1 season.</t>
  </si>
  <si>
    <t>Spray Material and Time Costs</t>
  </si>
  <si>
    <t>Trip Time/spray.</t>
  </si>
  <si>
    <t>Labor Cost</t>
  </si>
  <si>
    <t>Eq. Code</t>
  </si>
  <si>
    <t>Eq. Cost</t>
  </si>
  <si>
    <t>Material Cost</t>
  </si>
  <si>
    <t>Other Cost</t>
  </si>
  <si>
    <t>Eq. Hours</t>
  </si>
  <si>
    <t>Labor Hours</t>
  </si>
  <si>
    <t>Total Costs</t>
  </si>
  <si>
    <t>Year 2, Non-bearing Year</t>
  </si>
  <si>
    <t>Year 3, Non-bearing Year</t>
  </si>
  <si>
    <t>Year 4, Early Cropping Year</t>
  </si>
  <si>
    <t>Year 5, Early Cropping Year</t>
  </si>
  <si>
    <t>Year 6, Full Bearing Year</t>
  </si>
  <si>
    <t>Year 8, Full Bearing Year</t>
  </si>
  <si>
    <t>Year 3, Early Cropping Year</t>
  </si>
  <si>
    <t>Year 2, Early Bearing Year</t>
  </si>
  <si>
    <t>Year 4, Full Bearing Year</t>
  </si>
  <si>
    <t>Year 3, Early Bearing Year</t>
  </si>
  <si>
    <t>Year 7, Early Cropping Year</t>
  </si>
  <si>
    <t>Year 6, Early Cropping Year</t>
  </si>
  <si>
    <t>Year 0, Site Preparation Cost.</t>
  </si>
  <si>
    <t>Hauling Bins to loading pad</t>
  </si>
  <si>
    <t>Hauling w Flat Bed Trk short distances</t>
  </si>
  <si>
    <t>Annual Cost</t>
  </si>
  <si>
    <t>Migrant Housing plus</t>
  </si>
  <si>
    <t>Total Cost/bin</t>
  </si>
  <si>
    <t>Cost /Bin</t>
  </si>
  <si>
    <t>Summer Calcium</t>
  </si>
  <si>
    <t>Hand Pheromone</t>
  </si>
  <si>
    <t>Pesticides</t>
  </si>
  <si>
    <t>Insecticides</t>
  </si>
  <si>
    <t>Fungicides</t>
  </si>
  <si>
    <t>Herbicides</t>
  </si>
  <si>
    <t>Fertilizers</t>
  </si>
  <si>
    <t>PGR's</t>
  </si>
  <si>
    <t>% of Total Material Costs</t>
  </si>
  <si>
    <t>Machinery</t>
  </si>
  <si>
    <t>cents_lb</t>
  </si>
  <si>
    <t>lbs/acre</t>
  </si>
  <si>
    <t>Harv Labor</t>
  </si>
  <si>
    <t>Total Labor</t>
  </si>
  <si>
    <t>Non-Harvest Labor</t>
  </si>
  <si>
    <t>Profit Comparison of Systems</t>
  </si>
  <si>
    <t>Effect of varying yield.</t>
  </si>
  <si>
    <t>Tot Labor</t>
  </si>
  <si>
    <t>Practice</t>
  </si>
  <si>
    <t>Pruning/ Brush</t>
  </si>
  <si>
    <t>$ / Acre</t>
  </si>
  <si>
    <t>Percent of Total</t>
  </si>
  <si>
    <t>Estimate</t>
  </si>
  <si>
    <t>Expected Fresh Apple Price per lb.</t>
  </si>
  <si>
    <t>These costs are not included.</t>
  </si>
  <si>
    <t>Sq'/Tree</t>
  </si>
  <si>
    <t>linear row ft/acre</t>
  </si>
  <si>
    <t>cu ft/acre</t>
  </si>
  <si>
    <t>12x18</t>
  </si>
  <si>
    <t>Actual TRV % of Dilute</t>
  </si>
  <si>
    <t>Deer Fence (not included in costs)</t>
  </si>
  <si>
    <t>Tree Row Volume</t>
  </si>
  <si>
    <t>Disease</t>
  </si>
  <si>
    <t>Insect</t>
  </si>
  <si>
    <t>PGR</t>
  </si>
  <si>
    <t>Herb</t>
  </si>
  <si>
    <t>Fert</t>
  </si>
  <si>
    <t>Breakout Percentages Spray Program Cost</t>
  </si>
  <si>
    <t>MASS Data</t>
  </si>
  <si>
    <t>Spindle</t>
  </si>
  <si>
    <t>Potential Profit Comparison</t>
  </si>
  <si>
    <t>This chart is based on mature bearing year.</t>
  </si>
  <si>
    <t>Central Leader Cost</t>
  </si>
  <si>
    <t>Vertical Axe Cost</t>
  </si>
  <si>
    <t>Tall Spindle Cost</t>
  </si>
  <si>
    <t>Harvest Worker Factors</t>
  </si>
  <si>
    <t xml:space="preserve">and of these 20 people, 13 are workers.  </t>
  </si>
  <si>
    <t xml:space="preserve">Group Costs Comparison </t>
  </si>
  <si>
    <t>Costs of Bearing Year Sprays</t>
  </si>
  <si>
    <t>Costs/Bushel</t>
  </si>
  <si>
    <t>Percent Costs</t>
  </si>
  <si>
    <t>Various Costs Comparisons</t>
  </si>
  <si>
    <t>C. Leader</t>
  </si>
  <si>
    <t>V. Axe</t>
  </si>
  <si>
    <t>T. Spindle</t>
  </si>
  <si>
    <t>C Leader</t>
  </si>
  <si>
    <t>V Axe</t>
  </si>
  <si>
    <t>T Spindle</t>
  </si>
  <si>
    <t>Cost/ Unit</t>
  </si>
  <si>
    <t>2008 Costs of Apple Production</t>
  </si>
  <si>
    <t>Vertical Axis</t>
  </si>
  <si>
    <t>Price Per Bushel:</t>
  </si>
</sst>
</file>

<file path=xl/styles.xml><?xml version="1.0" encoding="utf-8"?>
<styleSheet xmlns="http://schemas.openxmlformats.org/spreadsheetml/2006/main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"/>
    <numFmt numFmtId="165" formatCode="0.000"/>
    <numFmt numFmtId="166" formatCode="0.0"/>
    <numFmt numFmtId="167" formatCode="0.0000"/>
    <numFmt numFmtId="168" formatCode="&quot;$&quot;#,##0.00"/>
    <numFmt numFmtId="171" formatCode="_(&quot;$&quot;* #,##0_);_(&quot;$&quot;* \(#,##0\);_(&quot;$&quot;* &quot;-&quot;??_);_(@_)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ourier"/>
      <family val="3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ourier"/>
      <family val="3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indexed="64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indexed="64"/>
      </right>
      <top style="thin">
        <color indexed="64"/>
      </top>
      <bottom style="thin">
        <color theme="0" tint="-0.14990691854609822"/>
      </bottom>
      <diagonal/>
    </border>
    <border>
      <left style="thin">
        <color indexed="64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indexed="64"/>
      </left>
      <right style="thin">
        <color theme="0" tint="-0.14990691854609822"/>
      </right>
      <top style="thin">
        <color theme="0" tint="-0.14990691854609822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indexed="64"/>
      </left>
      <right style="thin">
        <color theme="0" tint="-0.14990691854609822"/>
      </right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indexed="64"/>
      </bottom>
      <diagonal/>
    </border>
    <border>
      <left style="thin">
        <color indexed="64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indexed="64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indexed="64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indexed="64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0691854609822"/>
      </left>
      <right/>
      <top style="thin">
        <color indexed="64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0691854609822"/>
      </right>
      <top style="thin">
        <color indexed="64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 style="thin">
        <color theme="0" tint="-0.14990691854609822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Font="0"/>
    <xf numFmtId="44" fontId="2" fillId="0" borderId="0" applyFont="0" applyFill="0" applyBorder="0" applyAlignment="0" applyProtection="0"/>
  </cellStyleXfs>
  <cellXfs count="138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7" fontId="4" fillId="0" borderId="0" xfId="0" applyNumberFormat="1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8" fillId="0" borderId="0" xfId="0" applyFont="1"/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6" fillId="0" borderId="0" xfId="0" applyFont="1"/>
    <xf numFmtId="0" fontId="0" fillId="0" borderId="1" xfId="0" applyBorder="1"/>
    <xf numFmtId="1" fontId="8" fillId="0" borderId="0" xfId="0" applyNumberFormat="1" applyFont="1"/>
    <xf numFmtId="2" fontId="8" fillId="0" borderId="0" xfId="0" applyNumberFormat="1" applyFo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9" fillId="0" borderId="0" xfId="0" applyFont="1"/>
    <xf numFmtId="2" fontId="9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1" fontId="9" fillId="0" borderId="0" xfId="0" applyNumberFormat="1" applyFont="1"/>
    <xf numFmtId="166" fontId="8" fillId="0" borderId="0" xfId="0" applyNumberFormat="1" applyFont="1"/>
    <xf numFmtId="166" fontId="9" fillId="0" borderId="0" xfId="0" applyNumberFormat="1" applyFont="1"/>
    <xf numFmtId="1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7" xfId="0" applyBorder="1"/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10" xfId="0" applyBorder="1"/>
    <xf numFmtId="0" fontId="0" fillId="0" borderId="4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" fontId="0" fillId="0" borderId="10" xfId="0" applyNumberFormat="1" applyBorder="1"/>
    <xf numFmtId="2" fontId="0" fillId="0" borderId="6" xfId="0" applyNumberFormat="1" applyBorder="1"/>
    <xf numFmtId="166" fontId="0" fillId="0" borderId="0" xfId="0" applyNumberFormat="1" applyBorder="1"/>
    <xf numFmtId="2" fontId="0" fillId="0" borderId="5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10" xfId="0" applyNumberFormat="1" applyBorder="1"/>
    <xf numFmtId="1" fontId="0" fillId="0" borderId="7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66" fontId="7" fillId="0" borderId="0" xfId="0" applyNumberFormat="1" applyFont="1" applyBorder="1" applyProtection="1"/>
    <xf numFmtId="2" fontId="7" fillId="0" borderId="4" xfId="0" applyNumberFormat="1" applyFont="1" applyBorder="1" applyProtection="1"/>
    <xf numFmtId="2" fontId="7" fillId="0" borderId="0" xfId="0" applyNumberFormat="1" applyFont="1" applyBorder="1" applyProtection="1"/>
    <xf numFmtId="0" fontId="7" fillId="0" borderId="7" xfId="0" applyFont="1" applyBorder="1" applyAlignment="1">
      <alignment horizontal="left"/>
    </xf>
    <xf numFmtId="0" fontId="9" fillId="0" borderId="0" xfId="0" applyFont="1" applyBorder="1"/>
    <xf numFmtId="0" fontId="3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7" fillId="0" borderId="2" xfId="0" applyFont="1" applyBorder="1"/>
    <xf numFmtId="0" fontId="6" fillId="0" borderId="1" xfId="0" applyFont="1" applyBorder="1"/>
    <xf numFmtId="1" fontId="6" fillId="0" borderId="1" xfId="0" applyNumberFormat="1" applyFont="1" applyBorder="1"/>
    <xf numFmtId="0" fontId="6" fillId="0" borderId="3" xfId="0" applyFont="1" applyBorder="1"/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5" fillId="0" borderId="0" xfId="0" applyNumberFormat="1" applyFont="1"/>
    <xf numFmtId="44" fontId="0" fillId="0" borderId="0" xfId="1" applyFont="1"/>
    <xf numFmtId="1" fontId="7" fillId="0" borderId="0" xfId="0" applyNumberFormat="1" applyFont="1" applyBorder="1" applyProtection="1"/>
    <xf numFmtId="1" fontId="5" fillId="0" borderId="0" xfId="0" applyNumberFormat="1" applyFont="1"/>
    <xf numFmtId="0" fontId="0" fillId="0" borderId="14" xfId="0" applyBorder="1"/>
    <xf numFmtId="2" fontId="2" fillId="0" borderId="16" xfId="0" applyNumberFormat="1" applyFont="1" applyBorder="1"/>
    <xf numFmtId="0" fontId="0" fillId="0" borderId="16" xfId="0" applyBorder="1"/>
    <xf numFmtId="1" fontId="0" fillId="0" borderId="16" xfId="0" applyNumberFormat="1" applyBorder="1"/>
    <xf numFmtId="0" fontId="3" fillId="0" borderId="16" xfId="0" applyFont="1" applyBorder="1"/>
    <xf numFmtId="0" fontId="0" fillId="0" borderId="16" xfId="0" applyBorder="1" applyAlignment="1">
      <alignment horizontal="center"/>
    </xf>
    <xf numFmtId="0" fontId="0" fillId="2" borderId="0" xfId="0" applyFill="1"/>
    <xf numFmtId="0" fontId="2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2" fillId="0" borderId="16" xfId="0" applyFont="1" applyFill="1" applyBorder="1"/>
    <xf numFmtId="2" fontId="2" fillId="0" borderId="16" xfId="0" applyNumberFormat="1" applyFont="1" applyFill="1" applyBorder="1"/>
    <xf numFmtId="0" fontId="0" fillId="0" borderId="16" xfId="0" applyFill="1" applyBorder="1"/>
    <xf numFmtId="0" fontId="0" fillId="0" borderId="0" xfId="0" applyFill="1" applyAlignment="1">
      <alignment wrapText="1"/>
    </xf>
    <xf numFmtId="0" fontId="26" fillId="0" borderId="0" xfId="0" applyFont="1"/>
    <xf numFmtId="0" fontId="26" fillId="0" borderId="0" xfId="0" applyFont="1" applyBorder="1"/>
    <xf numFmtId="0" fontId="26" fillId="2" borderId="0" xfId="0" applyFont="1" applyFill="1" applyAlignment="1">
      <alignment horizontal="center"/>
    </xf>
    <xf numFmtId="0" fontId="26" fillId="0" borderId="1" xfId="0" applyFont="1" applyBorder="1"/>
    <xf numFmtId="0" fontId="1" fillId="0" borderId="0" xfId="0" applyFont="1" applyFill="1"/>
    <xf numFmtId="2" fontId="2" fillId="0" borderId="25" xfId="0" applyNumberFormat="1" applyFont="1" applyFill="1" applyBorder="1"/>
    <xf numFmtId="0" fontId="2" fillId="0" borderId="26" xfId="0" applyFont="1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8" fontId="0" fillId="0" borderId="0" xfId="0" applyNumberFormat="1"/>
    <xf numFmtId="0" fontId="26" fillId="0" borderId="0" xfId="0" applyFont="1" applyFill="1" applyBorder="1" applyAlignment="1">
      <alignment horizontal="left"/>
    </xf>
    <xf numFmtId="166" fontId="3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/>
    <xf numFmtId="2" fontId="2" fillId="0" borderId="27" xfId="0" applyNumberFormat="1" applyFont="1" applyFill="1" applyBorder="1"/>
    <xf numFmtId="0" fontId="2" fillId="0" borderId="28" xfId="0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1" fontId="2" fillId="0" borderId="29" xfId="0" applyNumberFormat="1" applyFont="1" applyFill="1" applyBorder="1"/>
    <xf numFmtId="0" fontId="2" fillId="0" borderId="30" xfId="0" applyFont="1" applyFill="1" applyBorder="1"/>
    <xf numFmtId="0" fontId="2" fillId="0" borderId="30" xfId="0" applyFont="1" applyFill="1" applyBorder="1" applyAlignment="1">
      <alignment horizontal="center"/>
    </xf>
    <xf numFmtId="2" fontId="2" fillId="0" borderId="30" xfId="0" applyNumberFormat="1" applyFont="1" applyFill="1" applyBorder="1"/>
    <xf numFmtId="2" fontId="2" fillId="0" borderId="31" xfId="0" applyNumberFormat="1" applyFont="1" applyFill="1" applyBorder="1"/>
    <xf numFmtId="1" fontId="2" fillId="0" borderId="32" xfId="0" applyNumberFormat="1" applyFont="1" applyFill="1" applyBorder="1"/>
    <xf numFmtId="2" fontId="2" fillId="0" borderId="33" xfId="0" applyNumberFormat="1" applyFont="1" applyFill="1" applyBorder="1"/>
    <xf numFmtId="1" fontId="1" fillId="0" borderId="34" xfId="0" applyNumberFormat="1" applyFont="1" applyFill="1" applyBorder="1"/>
    <xf numFmtId="0" fontId="2" fillId="0" borderId="35" xfId="0" applyFont="1" applyFill="1" applyBorder="1"/>
    <xf numFmtId="1" fontId="1" fillId="0" borderId="36" xfId="0" applyNumberFormat="1" applyFont="1" applyFill="1" applyBorder="1"/>
    <xf numFmtId="0" fontId="1" fillId="0" borderId="37" xfId="0" applyFont="1" applyFill="1" applyBorder="1"/>
    <xf numFmtId="0" fontId="1" fillId="0" borderId="37" xfId="0" applyFont="1" applyFill="1" applyBorder="1" applyAlignment="1">
      <alignment horizontal="center"/>
    </xf>
    <xf numFmtId="2" fontId="1" fillId="0" borderId="37" xfId="0" applyNumberFormat="1" applyFont="1" applyFill="1" applyBorder="1"/>
    <xf numFmtId="2" fontId="1" fillId="0" borderId="38" xfId="0" applyNumberFormat="1" applyFont="1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center"/>
    </xf>
    <xf numFmtId="2" fontId="2" fillId="0" borderId="39" xfId="0" applyNumberFormat="1" applyFont="1" applyFill="1" applyBorder="1"/>
    <xf numFmtId="1" fontId="2" fillId="0" borderId="40" xfId="0" applyNumberFormat="1" applyFont="1" applyFill="1" applyBorder="1"/>
    <xf numFmtId="1" fontId="2" fillId="0" borderId="41" xfId="0" applyNumberFormat="1" applyFont="1" applyFill="1" applyBorder="1"/>
    <xf numFmtId="2" fontId="2" fillId="0" borderId="42" xfId="0" applyNumberFormat="1" applyFont="1" applyFill="1" applyBorder="1"/>
    <xf numFmtId="0" fontId="2" fillId="0" borderId="14" xfId="0" applyFont="1" applyFill="1" applyBorder="1" applyAlignment="1">
      <alignment horizontal="center" wrapText="1"/>
    </xf>
    <xf numFmtId="0" fontId="0" fillId="0" borderId="15" xfId="0" applyBorder="1"/>
    <xf numFmtId="0" fontId="7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1" fontId="7" fillId="0" borderId="14" xfId="0" applyNumberFormat="1" applyFont="1" applyBorder="1" applyAlignment="1">
      <alignment horizontal="center" wrapText="1"/>
    </xf>
    <xf numFmtId="166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/>
    <xf numFmtId="2" fontId="7" fillId="0" borderId="25" xfId="0" applyNumberFormat="1" applyFont="1" applyFill="1" applyBorder="1" applyAlignment="1">
      <alignment horizontal="right"/>
    </xf>
    <xf numFmtId="2" fontId="7" fillId="0" borderId="25" xfId="0" applyNumberFormat="1" applyFont="1" applyBorder="1" applyProtection="1"/>
    <xf numFmtId="166" fontId="7" fillId="0" borderId="25" xfId="0" applyNumberFormat="1" applyFont="1" applyBorder="1" applyProtection="1">
      <protection locked="0"/>
    </xf>
    <xf numFmtId="1" fontId="7" fillId="0" borderId="25" xfId="0" applyNumberFormat="1" applyFont="1" applyBorder="1" applyProtection="1">
      <protection locked="0"/>
    </xf>
    <xf numFmtId="2" fontId="7" fillId="0" borderId="25" xfId="0" applyNumberFormat="1" applyFont="1" applyBorder="1" applyProtection="1">
      <protection locked="0"/>
    </xf>
    <xf numFmtId="2" fontId="7" fillId="0" borderId="25" xfId="0" applyNumberFormat="1" applyFont="1" applyBorder="1" applyAlignment="1" applyProtection="1"/>
    <xf numFmtId="166" fontId="7" fillId="0" borderId="25" xfId="0" applyNumberFormat="1" applyFont="1" applyBorder="1" applyProtection="1"/>
    <xf numFmtId="1" fontId="7" fillId="0" borderId="25" xfId="0" applyNumberFormat="1" applyFont="1" applyBorder="1" applyProtection="1"/>
    <xf numFmtId="166" fontId="11" fillId="0" borderId="25" xfId="0" applyNumberFormat="1" applyFont="1" applyBorder="1" applyAlignment="1" applyProtection="1">
      <protection locked="0"/>
    </xf>
    <xf numFmtId="2" fontId="11" fillId="0" borderId="25" xfId="0" applyNumberFormat="1" applyFont="1" applyBorder="1" applyAlignment="1" applyProtection="1">
      <protection locked="0"/>
    </xf>
    <xf numFmtId="1" fontId="11" fillId="0" borderId="25" xfId="0" applyNumberFormat="1" applyFont="1" applyBorder="1" applyAlignment="1" applyProtection="1">
      <protection locked="0"/>
    </xf>
    <xf numFmtId="2" fontId="10" fillId="0" borderId="25" xfId="0" applyNumberFormat="1" applyFont="1" applyBorder="1" applyAlignment="1"/>
    <xf numFmtId="166" fontId="7" fillId="0" borderId="25" xfId="0" applyNumberFormat="1" applyFont="1" applyBorder="1" applyAlignment="1" applyProtection="1">
      <protection locked="0"/>
    </xf>
    <xf numFmtId="166" fontId="7" fillId="0" borderId="25" xfId="0" applyNumberFormat="1" applyFont="1" applyBorder="1" applyAlignment="1" applyProtection="1"/>
    <xf numFmtId="1" fontId="7" fillId="0" borderId="25" xfId="0" applyNumberFormat="1" applyFont="1" applyBorder="1" applyAlignment="1" applyProtection="1">
      <protection locked="0"/>
    </xf>
    <xf numFmtId="2" fontId="7" fillId="0" borderId="25" xfId="0" applyNumberFormat="1" applyFont="1" applyBorder="1" applyAlignment="1" applyProtection="1">
      <protection locked="0"/>
    </xf>
    <xf numFmtId="2" fontId="7" fillId="0" borderId="25" xfId="0" applyNumberFormat="1" applyFont="1" applyBorder="1" applyAlignment="1"/>
    <xf numFmtId="166" fontId="7" fillId="0" borderId="25" xfId="0" applyNumberFormat="1" applyFont="1" applyBorder="1" applyAlignment="1"/>
    <xf numFmtId="0" fontId="7" fillId="0" borderId="25" xfId="0" applyFont="1" applyBorder="1" applyAlignment="1"/>
    <xf numFmtId="1" fontId="7" fillId="0" borderId="25" xfId="0" applyNumberFormat="1" applyFont="1" applyBorder="1" applyAlignment="1"/>
    <xf numFmtId="0" fontId="9" fillId="0" borderId="25" xfId="0" applyFont="1" applyBorder="1"/>
    <xf numFmtId="166" fontId="8" fillId="0" borderId="25" xfId="0" applyNumberFormat="1" applyFont="1" applyBorder="1"/>
    <xf numFmtId="166" fontId="10" fillId="0" borderId="25" xfId="0" applyNumberFormat="1" applyFont="1" applyBorder="1"/>
    <xf numFmtId="166" fontId="10" fillId="0" borderId="25" xfId="0" applyNumberFormat="1" applyFont="1" applyBorder="1" applyAlignment="1">
      <alignment horizontal="left"/>
    </xf>
    <xf numFmtId="166" fontId="7" fillId="0" borderId="25" xfId="0" applyNumberFormat="1" applyFont="1" applyBorder="1"/>
    <xf numFmtId="1" fontId="7" fillId="0" borderId="25" xfId="0" applyNumberFormat="1" applyFont="1" applyBorder="1"/>
    <xf numFmtId="2" fontId="8" fillId="0" borderId="25" xfId="0" applyNumberFormat="1" applyFont="1" applyBorder="1"/>
    <xf numFmtId="1" fontId="8" fillId="0" borderId="25" xfId="0" applyNumberFormat="1" applyFont="1" applyBorder="1"/>
    <xf numFmtId="166" fontId="7" fillId="0" borderId="25" xfId="0" applyNumberFormat="1" applyFont="1" applyFill="1" applyBorder="1" applyProtection="1"/>
    <xf numFmtId="2" fontId="7" fillId="0" borderId="25" xfId="0" applyNumberFormat="1" applyFont="1" applyFill="1" applyBorder="1" applyAlignment="1" applyProtection="1"/>
    <xf numFmtId="1" fontId="7" fillId="0" borderId="25" xfId="0" applyNumberFormat="1" applyFont="1" applyFill="1" applyBorder="1" applyProtection="1">
      <protection locked="0"/>
    </xf>
    <xf numFmtId="166" fontId="7" fillId="0" borderId="25" xfId="0" applyNumberFormat="1" applyFont="1" applyFill="1" applyBorder="1" applyProtection="1">
      <protection locked="0"/>
    </xf>
    <xf numFmtId="166" fontId="7" fillId="0" borderId="25" xfId="0" applyNumberFormat="1" applyFont="1" applyFill="1" applyBorder="1" applyAlignment="1" applyProtection="1">
      <protection locked="0"/>
    </xf>
    <xf numFmtId="166" fontId="7" fillId="0" borderId="25" xfId="0" applyNumberFormat="1" applyFont="1" applyFill="1" applyBorder="1" applyAlignment="1" applyProtection="1"/>
    <xf numFmtId="1" fontId="7" fillId="0" borderId="25" xfId="0" applyNumberFormat="1" applyFont="1" applyFill="1" applyBorder="1" applyAlignment="1" applyProtection="1">
      <protection locked="0"/>
    </xf>
    <xf numFmtId="166" fontId="8" fillId="0" borderId="25" xfId="0" applyNumberFormat="1" applyFont="1" applyFill="1" applyBorder="1"/>
    <xf numFmtId="2" fontId="8" fillId="0" borderId="25" xfId="0" applyNumberFormat="1" applyFont="1" applyFill="1" applyBorder="1"/>
    <xf numFmtId="1" fontId="8" fillId="0" borderId="25" xfId="0" applyNumberFormat="1" applyFont="1" applyFill="1" applyBorder="1"/>
    <xf numFmtId="2" fontId="16" fillId="0" borderId="43" xfId="0" applyNumberFormat="1" applyFont="1" applyBorder="1"/>
    <xf numFmtId="0" fontId="13" fillId="0" borderId="44" xfId="0" applyFont="1" applyBorder="1"/>
    <xf numFmtId="0" fontId="13" fillId="0" borderId="45" xfId="0" applyFont="1" applyBorder="1"/>
    <xf numFmtId="166" fontId="8" fillId="0" borderId="46" xfId="0" applyNumberFormat="1" applyFont="1" applyBorder="1"/>
    <xf numFmtId="2" fontId="8" fillId="0" borderId="46" xfId="0" applyNumberFormat="1" applyFont="1" applyBorder="1"/>
    <xf numFmtId="1" fontId="8" fillId="0" borderId="46" xfId="0" applyNumberFormat="1" applyFont="1" applyBorder="1"/>
    <xf numFmtId="2" fontId="16" fillId="0" borderId="47" xfId="0" applyNumberFormat="1" applyFont="1" applyBorder="1"/>
    <xf numFmtId="2" fontId="7" fillId="0" borderId="48" xfId="0" applyNumberFormat="1" applyFont="1" applyBorder="1"/>
    <xf numFmtId="1" fontId="7" fillId="0" borderId="48" xfId="0" applyNumberFormat="1" applyFont="1" applyBorder="1"/>
    <xf numFmtId="0" fontId="13" fillId="0" borderId="49" xfId="0" applyFont="1" applyBorder="1"/>
    <xf numFmtId="166" fontId="8" fillId="0" borderId="50" xfId="0" applyNumberFormat="1" applyFont="1" applyBorder="1"/>
    <xf numFmtId="2" fontId="8" fillId="0" borderId="50" xfId="0" applyNumberFormat="1" applyFont="1" applyBorder="1"/>
    <xf numFmtId="1" fontId="8" fillId="0" borderId="50" xfId="0" applyNumberFormat="1" applyFont="1" applyBorder="1"/>
    <xf numFmtId="2" fontId="7" fillId="0" borderId="51" xfId="0" applyNumberFormat="1" applyFont="1" applyBorder="1" applyAlignment="1">
      <alignment horizontal="center"/>
    </xf>
    <xf numFmtId="0" fontId="13" fillId="0" borderId="52" xfId="0" applyFont="1" applyBorder="1" applyAlignment="1">
      <alignment horizontal="left"/>
    </xf>
    <xf numFmtId="166" fontId="8" fillId="0" borderId="48" xfId="0" applyNumberFormat="1" applyFont="1" applyBorder="1"/>
    <xf numFmtId="2" fontId="8" fillId="0" borderId="48" xfId="0" applyNumberFormat="1" applyFont="1" applyBorder="1"/>
    <xf numFmtId="1" fontId="8" fillId="0" borderId="48" xfId="0" applyNumberFormat="1" applyFont="1" applyBorder="1"/>
    <xf numFmtId="2" fontId="16" fillId="0" borderId="53" xfId="0" applyNumberFormat="1" applyFont="1" applyBorder="1"/>
    <xf numFmtId="0" fontId="15" fillId="0" borderId="49" xfId="0" applyFont="1" applyBorder="1"/>
    <xf numFmtId="166" fontId="7" fillId="0" borderId="50" xfId="0" applyNumberFormat="1" applyFont="1" applyBorder="1"/>
    <xf numFmtId="2" fontId="7" fillId="0" borderId="50" xfId="0" applyNumberFormat="1" applyFont="1" applyBorder="1"/>
    <xf numFmtId="1" fontId="7" fillId="0" borderId="50" xfId="0" applyNumberFormat="1" applyFont="1" applyBorder="1"/>
    <xf numFmtId="166" fontId="8" fillId="0" borderId="54" xfId="0" applyNumberFormat="1" applyFont="1" applyBorder="1"/>
    <xf numFmtId="2" fontId="8" fillId="0" borderId="54" xfId="0" applyNumberFormat="1" applyFont="1" applyBorder="1"/>
    <xf numFmtId="1" fontId="8" fillId="0" borderId="54" xfId="0" applyNumberFormat="1" applyFont="1" applyBorder="1"/>
    <xf numFmtId="0" fontId="7" fillId="0" borderId="44" xfId="0" applyFont="1" applyBorder="1"/>
    <xf numFmtId="0" fontId="15" fillId="0" borderId="44" xfId="0" applyFont="1" applyBorder="1" applyAlignment="1" applyProtection="1">
      <alignment horizontal="left"/>
      <protection locked="0"/>
    </xf>
    <xf numFmtId="2" fontId="7" fillId="0" borderId="43" xfId="0" applyNumberFormat="1" applyFont="1" applyBorder="1" applyProtection="1"/>
    <xf numFmtId="0" fontId="7" fillId="0" borderId="44" xfId="0" applyFont="1" applyBorder="1" applyAlignment="1" applyProtection="1">
      <alignment horizontal="left"/>
      <protection locked="0"/>
    </xf>
    <xf numFmtId="0" fontId="15" fillId="0" borderId="44" xfId="0" applyFont="1" applyBorder="1" applyAlignment="1">
      <alignment horizontal="left"/>
    </xf>
    <xf numFmtId="2" fontId="7" fillId="0" borderId="43" xfId="0" applyNumberFormat="1" applyFont="1" applyBorder="1" applyAlignment="1" applyProtection="1"/>
    <xf numFmtId="0" fontId="7" fillId="0" borderId="44" xfId="0" applyFont="1" applyBorder="1" applyAlignment="1"/>
    <xf numFmtId="0" fontId="7" fillId="0" borderId="44" xfId="0" applyFont="1" applyBorder="1" applyAlignment="1">
      <alignment horizontal="left"/>
    </xf>
    <xf numFmtId="2" fontId="8" fillId="0" borderId="43" xfId="0" applyNumberFormat="1" applyFont="1" applyBorder="1"/>
    <xf numFmtId="0" fontId="7" fillId="0" borderId="45" xfId="0" applyFont="1" applyBorder="1" applyAlignment="1">
      <alignment horizontal="left"/>
    </xf>
    <xf numFmtId="166" fontId="7" fillId="0" borderId="46" xfId="0" applyNumberFormat="1" applyFont="1" applyBorder="1" applyProtection="1"/>
    <xf numFmtId="2" fontId="7" fillId="0" borderId="46" xfId="0" applyNumberFormat="1" applyFont="1" applyBorder="1" applyProtection="1"/>
    <xf numFmtId="1" fontId="7" fillId="0" borderId="46" xfId="0" applyNumberFormat="1" applyFont="1" applyBorder="1" applyProtection="1"/>
    <xf numFmtId="2" fontId="7" fillId="0" borderId="47" xfId="0" applyNumberFormat="1" applyFont="1" applyBorder="1" applyProtection="1"/>
    <xf numFmtId="0" fontId="7" fillId="0" borderId="55" xfId="0" applyFont="1" applyBorder="1" applyAlignment="1" applyProtection="1">
      <alignment horizontal="left"/>
      <protection locked="0"/>
    </xf>
    <xf numFmtId="166" fontId="7" fillId="0" borderId="56" xfId="0" applyNumberFormat="1" applyFont="1" applyBorder="1" applyProtection="1">
      <protection locked="0"/>
    </xf>
    <xf numFmtId="2" fontId="7" fillId="0" borderId="56" xfId="0" applyNumberFormat="1" applyFont="1" applyBorder="1" applyAlignment="1" applyProtection="1"/>
    <xf numFmtId="1" fontId="7" fillId="0" borderId="56" xfId="0" applyNumberFormat="1" applyFont="1" applyBorder="1" applyProtection="1">
      <protection locked="0"/>
    </xf>
    <xf numFmtId="2" fontId="7" fillId="0" borderId="56" xfId="0" applyNumberFormat="1" applyFont="1" applyBorder="1" applyProtection="1">
      <protection locked="0"/>
    </xf>
    <xf numFmtId="2" fontId="7" fillId="0" borderId="56" xfId="0" applyNumberFormat="1" applyFont="1" applyBorder="1" applyProtection="1"/>
    <xf numFmtId="2" fontId="7" fillId="0" borderId="57" xfId="0" applyNumberFormat="1" applyFont="1" applyBorder="1" applyProtection="1"/>
    <xf numFmtId="0" fontId="7" fillId="0" borderId="58" xfId="0" applyFont="1" applyBorder="1" applyAlignment="1">
      <alignment horizontal="fill"/>
    </xf>
    <xf numFmtId="166" fontId="7" fillId="0" borderId="59" xfId="0" applyNumberFormat="1" applyFont="1" applyBorder="1" applyAlignment="1" applyProtection="1">
      <alignment horizontal="fill"/>
    </xf>
    <xf numFmtId="2" fontId="7" fillId="0" borderId="59" xfId="0" applyNumberFormat="1" applyFont="1" applyBorder="1" applyAlignment="1">
      <alignment horizontal="fill"/>
    </xf>
    <xf numFmtId="1" fontId="7" fillId="0" borderId="59" xfId="0" applyNumberFormat="1" applyFont="1" applyBorder="1" applyAlignment="1">
      <alignment horizontal="fill"/>
    </xf>
    <xf numFmtId="2" fontId="7" fillId="0" borderId="60" xfId="0" applyNumberFormat="1" applyFont="1" applyBorder="1" applyAlignment="1">
      <alignment horizontal="fill"/>
    </xf>
    <xf numFmtId="0" fontId="7" fillId="0" borderId="52" xfId="0" applyFont="1" applyBorder="1"/>
    <xf numFmtId="166" fontId="7" fillId="0" borderId="48" xfId="0" applyNumberFormat="1" applyFont="1" applyBorder="1" applyProtection="1"/>
    <xf numFmtId="2" fontId="7" fillId="0" borderId="53" xfId="0" applyNumberFormat="1" applyFont="1" applyBorder="1"/>
    <xf numFmtId="2" fontId="10" fillId="0" borderId="43" xfId="0" applyNumberFormat="1" applyFont="1" applyBorder="1" applyAlignment="1"/>
    <xf numFmtId="0" fontId="7" fillId="0" borderId="43" xfId="0" applyFont="1" applyBorder="1" applyAlignment="1"/>
    <xf numFmtId="0" fontId="7" fillId="0" borderId="55" xfId="0" applyFont="1" applyBorder="1" applyAlignment="1">
      <alignment horizontal="left"/>
    </xf>
    <xf numFmtId="166" fontId="7" fillId="0" borderId="56" xfId="0" applyNumberFormat="1" applyFont="1" applyBorder="1" applyAlignment="1" applyProtection="1">
      <protection locked="0"/>
    </xf>
    <xf numFmtId="1" fontId="7" fillId="0" borderId="56" xfId="0" applyNumberFormat="1" applyFont="1" applyBorder="1" applyAlignment="1" applyProtection="1">
      <protection locked="0"/>
    </xf>
    <xf numFmtId="2" fontId="7" fillId="0" borderId="56" xfId="0" applyNumberFormat="1" applyFont="1" applyBorder="1" applyAlignment="1" applyProtection="1">
      <protection locked="0"/>
    </xf>
    <xf numFmtId="2" fontId="7" fillId="0" borderId="57" xfId="0" applyNumberFormat="1" applyFont="1" applyBorder="1" applyAlignment="1" applyProtection="1"/>
    <xf numFmtId="166" fontId="7" fillId="0" borderId="48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0" fontId="10" fillId="0" borderId="52" xfId="0" applyFont="1" applyBorder="1" applyAlignment="1">
      <alignment horizontal="fill"/>
    </xf>
    <xf numFmtId="166" fontId="10" fillId="0" borderId="48" xfId="0" applyNumberFormat="1" applyFont="1" applyBorder="1" applyAlignment="1">
      <alignment horizontal="fill"/>
    </xf>
    <xf numFmtId="2" fontId="10" fillId="0" borderId="48" xfId="0" applyNumberFormat="1" applyFont="1" applyBorder="1" applyAlignment="1">
      <alignment horizontal="fill"/>
    </xf>
    <xf numFmtId="1" fontId="10" fillId="0" borderId="48" xfId="0" applyNumberFormat="1" applyFont="1" applyBorder="1" applyAlignment="1">
      <alignment horizontal="fill"/>
    </xf>
    <xf numFmtId="2" fontId="10" fillId="0" borderId="53" xfId="0" applyNumberFormat="1" applyFont="1" applyBorder="1" applyAlignment="1">
      <alignment horizontal="fill"/>
    </xf>
    <xf numFmtId="166" fontId="9" fillId="0" borderId="48" xfId="0" applyNumberFormat="1" applyFont="1" applyBorder="1" applyProtection="1"/>
    <xf numFmtId="2" fontId="9" fillId="0" borderId="48" xfId="0" applyNumberFormat="1" applyFont="1" applyBorder="1"/>
    <xf numFmtId="1" fontId="9" fillId="0" borderId="48" xfId="0" applyNumberFormat="1" applyFont="1" applyBorder="1"/>
    <xf numFmtId="1" fontId="7" fillId="0" borderId="46" xfId="0" applyNumberFormat="1" applyFont="1" applyBorder="1"/>
    <xf numFmtId="2" fontId="9" fillId="0" borderId="53" xfId="0" applyNumberFormat="1" applyFont="1" applyBorder="1"/>
    <xf numFmtId="0" fontId="7" fillId="0" borderId="45" xfId="0" applyFont="1" applyBorder="1"/>
    <xf numFmtId="166" fontId="7" fillId="0" borderId="46" xfId="0" applyNumberFormat="1" applyFont="1" applyBorder="1"/>
    <xf numFmtId="2" fontId="7" fillId="0" borderId="46" xfId="0" applyNumberFormat="1" applyFont="1" applyBorder="1"/>
    <xf numFmtId="2" fontId="7" fillId="0" borderId="47" xfId="0" applyNumberFormat="1" applyFont="1" applyBorder="1"/>
    <xf numFmtId="0" fontId="9" fillId="0" borderId="52" xfId="0" applyFont="1" applyBorder="1"/>
    <xf numFmtId="0" fontId="8" fillId="0" borderId="61" xfId="0" applyFont="1" applyBorder="1"/>
    <xf numFmtId="2" fontId="8" fillId="0" borderId="62" xfId="0" applyNumberFormat="1" applyFont="1" applyBorder="1"/>
    <xf numFmtId="0" fontId="19" fillId="0" borderId="0" xfId="0" applyFont="1"/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6" fontId="7" fillId="0" borderId="14" xfId="0" applyNumberFormat="1" applyFont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6" fontId="7" fillId="0" borderId="8" xfId="0" applyNumberFormat="1" applyFont="1" applyBorder="1" applyAlignment="1" applyProtection="1">
      <alignment horizontal="center"/>
    </xf>
    <xf numFmtId="0" fontId="2" fillId="0" borderId="25" xfId="0" applyFont="1" applyBorder="1"/>
    <xf numFmtId="2" fontId="2" fillId="0" borderId="25" xfId="0" applyNumberFormat="1" applyFont="1" applyBorder="1"/>
    <xf numFmtId="2" fontId="2" fillId="0" borderId="46" xfId="0" applyNumberFormat="1" applyFont="1" applyBorder="1"/>
    <xf numFmtId="0" fontId="2" fillId="0" borderId="52" xfId="0" applyFont="1" applyBorder="1"/>
    <xf numFmtId="2" fontId="2" fillId="0" borderId="48" xfId="0" applyNumberFormat="1" applyFont="1" applyBorder="1"/>
    <xf numFmtId="0" fontId="7" fillId="0" borderId="55" xfId="0" applyFont="1" applyBorder="1" applyAlignment="1">
      <alignment horizontal="fill"/>
    </xf>
    <xf numFmtId="166" fontId="7" fillId="0" borderId="56" xfId="0" applyNumberFormat="1" applyFont="1" applyBorder="1" applyAlignment="1">
      <alignment horizontal="fill"/>
    </xf>
    <xf numFmtId="2" fontId="7" fillId="0" borderId="56" xfId="0" applyNumberFormat="1" applyFont="1" applyBorder="1" applyAlignment="1">
      <alignment horizontal="fill"/>
    </xf>
    <xf numFmtId="1" fontId="7" fillId="0" borderId="56" xfId="0" applyNumberFormat="1" applyFont="1" applyBorder="1" applyAlignment="1">
      <alignment horizontal="fill"/>
    </xf>
    <xf numFmtId="2" fontId="7" fillId="0" borderId="57" xfId="0" applyNumberFormat="1" applyFont="1" applyBorder="1" applyAlignment="1">
      <alignment horizontal="fill"/>
    </xf>
    <xf numFmtId="166" fontId="7" fillId="0" borderId="59" xfId="0" applyNumberFormat="1" applyFont="1" applyBorder="1" applyAlignment="1">
      <alignment horizontal="fill"/>
    </xf>
    <xf numFmtId="0" fontId="0" fillId="0" borderId="63" xfId="0" applyFill="1" applyBorder="1"/>
    <xf numFmtId="0" fontId="2" fillId="0" borderId="63" xfId="0" applyFont="1" applyFill="1" applyBorder="1"/>
    <xf numFmtId="2" fontId="2" fillId="0" borderId="63" xfId="0" applyNumberFormat="1" applyFont="1" applyFill="1" applyBorder="1"/>
    <xf numFmtId="2" fontId="2" fillId="0" borderId="63" xfId="0" applyNumberFormat="1" applyFont="1" applyBorder="1"/>
    <xf numFmtId="1" fontId="2" fillId="0" borderId="64" xfId="0" applyNumberFormat="1" applyFont="1" applyBorder="1"/>
    <xf numFmtId="0" fontId="2" fillId="0" borderId="65" xfId="0" applyFont="1" applyBorder="1"/>
    <xf numFmtId="0" fontId="0" fillId="0" borderId="65" xfId="0" applyBorder="1"/>
    <xf numFmtId="2" fontId="2" fillId="0" borderId="65" xfId="0" applyNumberFormat="1" applyFont="1" applyBorder="1"/>
    <xf numFmtId="0" fontId="0" fillId="0" borderId="65" xfId="0" applyFill="1" applyBorder="1"/>
    <xf numFmtId="2" fontId="2" fillId="0" borderId="66" xfId="0" applyNumberFormat="1" applyFont="1" applyBorder="1"/>
    <xf numFmtId="1" fontId="1" fillId="0" borderId="20" xfId="0" applyNumberFormat="1" applyFont="1" applyBorder="1"/>
    <xf numFmtId="0" fontId="2" fillId="0" borderId="21" xfId="0" applyFont="1" applyBorder="1"/>
    <xf numFmtId="0" fontId="0" fillId="0" borderId="21" xfId="0" applyBorder="1"/>
    <xf numFmtId="2" fontId="2" fillId="0" borderId="21" xfId="0" applyNumberFormat="1" applyFont="1" applyBorder="1"/>
    <xf numFmtId="0" fontId="0" fillId="0" borderId="21" xfId="0" applyFill="1" applyBorder="1"/>
    <xf numFmtId="2" fontId="1" fillId="0" borderId="22" xfId="0" applyNumberFormat="1" applyFont="1" applyBorder="1"/>
    <xf numFmtId="0" fontId="0" fillId="0" borderId="63" xfId="0" applyBorder="1"/>
    <xf numFmtId="0" fontId="0" fillId="0" borderId="17" xfId="0" applyBorder="1"/>
    <xf numFmtId="0" fontId="0" fillId="0" borderId="17" xfId="0" applyFill="1" applyBorder="1"/>
    <xf numFmtId="0" fontId="0" fillId="0" borderId="66" xfId="0" applyBorder="1"/>
    <xf numFmtId="0" fontId="3" fillId="0" borderId="63" xfId="0" applyFont="1" applyBorder="1" applyAlignment="1">
      <alignment horizontal="center"/>
    </xf>
    <xf numFmtId="0" fontId="3" fillId="0" borderId="19" xfId="0" applyFont="1" applyBorder="1"/>
    <xf numFmtId="1" fontId="2" fillId="0" borderId="18" xfId="0" applyNumberFormat="1" applyFont="1" applyBorder="1"/>
    <xf numFmtId="2" fontId="2" fillId="0" borderId="19" xfId="0" applyNumberFormat="1" applyFont="1" applyBorder="1"/>
    <xf numFmtId="1" fontId="0" fillId="0" borderId="67" xfId="0" applyNumberFormat="1" applyBorder="1"/>
    <xf numFmtId="2" fontId="2" fillId="0" borderId="68" xfId="0" applyNumberFormat="1" applyFont="1" applyBorder="1"/>
    <xf numFmtId="0" fontId="3" fillId="0" borderId="18" xfId="0" applyFont="1" applyBorder="1"/>
    <xf numFmtId="0" fontId="16" fillId="0" borderId="18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0" xfId="0" applyFill="1" applyBorder="1"/>
    <xf numFmtId="0" fontId="0" fillId="0" borderId="71" xfId="0" applyBorder="1"/>
    <xf numFmtId="0" fontId="3" fillId="0" borderId="17" xfId="0" applyFont="1" applyBorder="1"/>
    <xf numFmtId="1" fontId="2" fillId="0" borderId="23" xfId="0" applyNumberFormat="1" applyFont="1" applyBorder="1"/>
    <xf numFmtId="0" fontId="0" fillId="0" borderId="17" xfId="0" applyFill="1" applyBorder="1" applyAlignment="1">
      <alignment horizontal="center"/>
    </xf>
    <xf numFmtId="0" fontId="2" fillId="0" borderId="17" xfId="0" applyFont="1" applyFill="1" applyBorder="1"/>
    <xf numFmtId="2" fontId="2" fillId="0" borderId="17" xfId="0" applyNumberFormat="1" applyFont="1" applyFill="1" applyBorder="1"/>
    <xf numFmtId="2" fontId="2" fillId="0" borderId="17" xfId="0" applyNumberFormat="1" applyFont="1" applyBorder="1"/>
    <xf numFmtId="2" fontId="2" fillId="0" borderId="24" xfId="0" applyNumberFormat="1" applyFont="1" applyBorder="1"/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/>
    <xf numFmtId="0" fontId="3" fillId="0" borderId="24" xfId="0" applyFont="1" applyBorder="1"/>
    <xf numFmtId="0" fontId="3" fillId="0" borderId="23" xfId="0" applyFont="1" applyBorder="1"/>
    <xf numFmtId="0" fontId="3" fillId="0" borderId="65" xfId="0" applyFont="1" applyBorder="1" applyAlignment="1">
      <alignment horizontal="center"/>
    </xf>
    <xf numFmtId="0" fontId="3" fillId="0" borderId="65" xfId="0" applyFont="1" applyBorder="1"/>
    <xf numFmtId="0" fontId="3" fillId="0" borderId="66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166" fontId="3" fillId="0" borderId="21" xfId="0" applyNumberFormat="1" applyFont="1" applyBorder="1"/>
    <xf numFmtId="166" fontId="3" fillId="0" borderId="21" xfId="0" applyNumberFormat="1" applyFont="1" applyBorder="1" applyAlignment="1">
      <alignment horizontal="center"/>
    </xf>
    <xf numFmtId="166" fontId="3" fillId="0" borderId="22" xfId="0" applyNumberFormat="1" applyFont="1" applyBorder="1"/>
    <xf numFmtId="166" fontId="3" fillId="0" borderId="72" xfId="0" applyNumberFormat="1" applyFont="1" applyBorder="1"/>
    <xf numFmtId="166" fontId="3" fillId="0" borderId="73" xfId="0" applyNumberFormat="1" applyFont="1" applyBorder="1"/>
    <xf numFmtId="0" fontId="3" fillId="0" borderId="64" xfId="0" applyFont="1" applyBorder="1" applyAlignment="1">
      <alignment horizontal="center"/>
    </xf>
    <xf numFmtId="2" fontId="3" fillId="0" borderId="66" xfId="0" applyNumberFormat="1" applyFont="1" applyBorder="1"/>
    <xf numFmtId="166" fontId="3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164" fontId="12" fillId="0" borderId="14" xfId="0" applyNumberFormat="1" applyFont="1" applyBorder="1" applyAlignment="1" applyProtection="1">
      <alignment horizontal="center"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4" xfId="0" applyFont="1" applyBorder="1"/>
    <xf numFmtId="0" fontId="3" fillId="0" borderId="25" xfId="0" applyFont="1" applyBorder="1"/>
    <xf numFmtId="1" fontId="2" fillId="0" borderId="25" xfId="0" applyNumberFormat="1" applyFont="1" applyFill="1" applyBorder="1"/>
    <xf numFmtId="166" fontId="2" fillId="0" borderId="25" xfId="0" applyNumberFormat="1" applyFont="1" applyFill="1" applyBorder="1"/>
    <xf numFmtId="0" fontId="8" fillId="0" borderId="44" xfId="0" applyFont="1" applyBorder="1" applyAlignment="1">
      <alignment horizontal="left"/>
    </xf>
    <xf numFmtId="0" fontId="3" fillId="0" borderId="43" xfId="0" applyFont="1" applyBorder="1"/>
    <xf numFmtId="0" fontId="3" fillId="0" borderId="44" xfId="0" applyFont="1" applyBorder="1"/>
    <xf numFmtId="2" fontId="2" fillId="0" borderId="43" xfId="0" applyNumberFormat="1" applyFont="1" applyFill="1" applyBorder="1"/>
    <xf numFmtId="0" fontId="0" fillId="0" borderId="57" xfId="0" applyBorder="1"/>
    <xf numFmtId="0" fontId="0" fillId="0" borderId="52" xfId="0" applyBorder="1"/>
    <xf numFmtId="0" fontId="0" fillId="0" borderId="48" xfId="0" applyBorder="1"/>
    <xf numFmtId="0" fontId="0" fillId="0" borderId="53" xfId="0" applyBorder="1"/>
    <xf numFmtId="0" fontId="8" fillId="0" borderId="14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 applyAlignment="1">
      <alignment horizontal="center"/>
    </xf>
    <xf numFmtId="0" fontId="3" fillId="0" borderId="56" xfId="0" applyFont="1" applyBorder="1"/>
    <xf numFmtId="0" fontId="2" fillId="0" borderId="48" xfId="0" applyFont="1" applyFill="1" applyBorder="1"/>
    <xf numFmtId="1" fontId="2" fillId="0" borderId="48" xfId="0" applyNumberFormat="1" applyFont="1" applyFill="1" applyBorder="1"/>
    <xf numFmtId="2" fontId="2" fillId="0" borderId="48" xfId="0" applyNumberFormat="1" applyFont="1" applyFill="1" applyBorder="1"/>
    <xf numFmtId="2" fontId="2" fillId="0" borderId="53" xfId="0" applyNumberFormat="1" applyFont="1" applyFill="1" applyBorder="1"/>
    <xf numFmtId="0" fontId="8" fillId="0" borderId="52" xfId="0" applyFont="1" applyBorder="1" applyAlignment="1">
      <alignment horizontal="left"/>
    </xf>
    <xf numFmtId="0" fontId="3" fillId="0" borderId="48" xfId="0" applyFont="1" applyBorder="1"/>
    <xf numFmtId="0" fontId="3" fillId="0" borderId="53" xfId="0" applyFont="1" applyBorder="1"/>
    <xf numFmtId="0" fontId="2" fillId="0" borderId="74" xfId="0" applyFont="1" applyFill="1" applyBorder="1"/>
    <xf numFmtId="0" fontId="2" fillId="0" borderId="6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2" fillId="0" borderId="77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2" fontId="12" fillId="0" borderId="78" xfId="0" applyNumberFormat="1" applyFont="1" applyFill="1" applyBorder="1" applyAlignment="1">
      <alignment wrapText="1"/>
    </xf>
    <xf numFmtId="0" fontId="0" fillId="0" borderId="78" xfId="0" applyBorder="1" applyAlignment="1">
      <alignment wrapText="1"/>
    </xf>
    <xf numFmtId="0" fontId="3" fillId="0" borderId="78" xfId="0" applyFont="1" applyFill="1" applyBorder="1" applyAlignment="1">
      <alignment wrapText="1"/>
    </xf>
    <xf numFmtId="0" fontId="3" fillId="0" borderId="79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2" fillId="0" borderId="80" xfId="0" applyFont="1" applyFill="1" applyBorder="1" applyAlignment="1">
      <alignment wrapText="1"/>
    </xf>
    <xf numFmtId="2" fontId="0" fillId="0" borderId="81" xfId="0" applyNumberFormat="1" applyFill="1" applyBorder="1" applyAlignment="1">
      <alignment wrapText="1"/>
    </xf>
    <xf numFmtId="0" fontId="0" fillId="0" borderId="81" xfId="0" applyBorder="1" applyAlignment="1">
      <alignment wrapText="1"/>
    </xf>
    <xf numFmtId="0" fontId="3" fillId="0" borderId="81" xfId="0" applyFont="1" applyFill="1" applyBorder="1" applyAlignment="1">
      <alignment wrapText="1"/>
    </xf>
    <xf numFmtId="2" fontId="0" fillId="0" borderId="81" xfId="0" applyNumberFormat="1" applyBorder="1" applyAlignment="1">
      <alignment wrapText="1"/>
    </xf>
    <xf numFmtId="0" fontId="3" fillId="0" borderId="82" xfId="0" applyFont="1" applyFill="1" applyBorder="1" applyAlignment="1">
      <alignment wrapText="1"/>
    </xf>
    <xf numFmtId="2" fontId="1" fillId="0" borderId="83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166" fontId="2" fillId="0" borderId="44" xfId="0" applyNumberFormat="1" applyFont="1" applyFill="1" applyBorder="1" applyAlignment="1">
      <alignment horizontal="center"/>
    </xf>
    <xf numFmtId="0" fontId="1" fillId="0" borderId="75" xfId="0" applyFont="1" applyFill="1" applyBorder="1"/>
    <xf numFmtId="2" fontId="1" fillId="0" borderId="83" xfId="0" applyNumberFormat="1" applyFont="1" applyFill="1" applyBorder="1"/>
    <xf numFmtId="0" fontId="2" fillId="0" borderId="80" xfId="0" applyFont="1" applyFill="1" applyBorder="1"/>
    <xf numFmtId="2" fontId="2" fillId="0" borderId="81" xfId="0" applyNumberFormat="1" applyFont="1" applyFill="1" applyBorder="1"/>
    <xf numFmtId="0" fontId="2" fillId="0" borderId="81" xfId="0" applyFont="1" applyFill="1" applyBorder="1"/>
    <xf numFmtId="0" fontId="2" fillId="0" borderId="82" xfId="0" applyFont="1" applyFill="1" applyBorder="1"/>
    <xf numFmtId="0" fontId="1" fillId="0" borderId="77" xfId="0" applyFont="1" applyFill="1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right" wrapText="1"/>
    </xf>
    <xf numFmtId="2" fontId="1" fillId="0" borderId="0" xfId="0" applyNumberFormat="1" applyFont="1" applyBorder="1"/>
    <xf numFmtId="2" fontId="2" fillId="0" borderId="7" xfId="0" applyNumberFormat="1" applyFont="1" applyBorder="1"/>
    <xf numFmtId="2" fontId="2" fillId="0" borderId="0" xfId="0" applyNumberFormat="1" applyFont="1" applyBorder="1"/>
    <xf numFmtId="2" fontId="2" fillId="0" borderId="4" xfId="0" applyNumberFormat="1" applyFont="1" applyBorder="1"/>
    <xf numFmtId="0" fontId="21" fillId="0" borderId="0" xfId="0" applyFont="1" applyBorder="1" applyAlignment="1">
      <alignment horizontal="left"/>
    </xf>
    <xf numFmtId="2" fontId="0" fillId="0" borderId="0" xfId="0" applyNumberFormat="1"/>
    <xf numFmtId="0" fontId="2" fillId="0" borderId="0" xfId="0" applyFont="1"/>
    <xf numFmtId="0" fontId="1" fillId="0" borderId="7" xfId="0" applyFont="1" applyBorder="1"/>
    <xf numFmtId="166" fontId="0" fillId="0" borderId="14" xfId="0" applyNumberFormat="1" applyBorder="1"/>
    <xf numFmtId="0" fontId="0" fillId="0" borderId="0" xfId="0" applyAlignment="1">
      <alignment horizontal="left"/>
    </xf>
    <xf numFmtId="2" fontId="0" fillId="0" borderId="14" xfId="0" applyNumberFormat="1" applyBorder="1"/>
    <xf numFmtId="0" fontId="5" fillId="0" borderId="15" xfId="0" applyFont="1" applyFill="1" applyBorder="1"/>
    <xf numFmtId="0" fontId="14" fillId="0" borderId="14" xfId="0" applyFont="1" applyBorder="1"/>
    <xf numFmtId="2" fontId="12" fillId="2" borderId="7" xfId="0" applyNumberFormat="1" applyFont="1" applyFill="1" applyBorder="1"/>
    <xf numFmtId="2" fontId="12" fillId="2" borderId="0" xfId="0" applyNumberFormat="1" applyFont="1" applyFill="1" applyBorder="1"/>
    <xf numFmtId="2" fontId="12" fillId="2" borderId="4" xfId="0" applyNumberFormat="1" applyFont="1" applyFill="1" applyBorder="1"/>
    <xf numFmtId="0" fontId="25" fillId="0" borderId="23" xfId="0" applyFont="1" applyFill="1" applyBorder="1" applyAlignment="1">
      <alignment horizontal="left"/>
    </xf>
    <xf numFmtId="0" fontId="25" fillId="0" borderId="17" xfId="0" applyFont="1" applyBorder="1"/>
    <xf numFmtId="0" fontId="25" fillId="0" borderId="17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166" fontId="25" fillId="0" borderId="16" xfId="0" applyNumberFormat="1" applyFont="1" applyFill="1" applyBorder="1" applyAlignment="1">
      <alignment horizontal="right"/>
    </xf>
    <xf numFmtId="166" fontId="25" fillId="0" borderId="19" xfId="0" applyNumberFormat="1" applyFont="1" applyFill="1" applyBorder="1" applyAlignment="1">
      <alignment horizontal="right"/>
    </xf>
    <xf numFmtId="0" fontId="25" fillId="0" borderId="16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" fontId="25" fillId="0" borderId="16" xfId="0" applyNumberFormat="1" applyFont="1" applyFill="1" applyBorder="1" applyAlignment="1">
      <alignment horizontal="right"/>
    </xf>
    <xf numFmtId="1" fontId="25" fillId="0" borderId="19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3" xfId="0" applyBorder="1"/>
    <xf numFmtId="0" fontId="3" fillId="0" borderId="24" xfId="0" applyFont="1" applyBorder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84" xfId="0" applyFont="1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64" xfId="0" applyBorder="1"/>
    <xf numFmtId="0" fontId="8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5" fillId="0" borderId="16" xfId="0" applyFont="1" applyBorder="1"/>
    <xf numFmtId="7" fontId="25" fillId="0" borderId="16" xfId="0" applyNumberFormat="1" applyFont="1" applyBorder="1" applyProtection="1">
      <protection locked="0"/>
    </xf>
    <xf numFmtId="39" fontId="25" fillId="0" borderId="16" xfId="0" applyNumberFormat="1" applyFont="1" applyBorder="1" applyProtection="1">
      <protection locked="0"/>
    </xf>
    <xf numFmtId="39" fontId="26" fillId="2" borderId="16" xfId="0" applyNumberFormat="1" applyFont="1" applyFill="1" applyBorder="1" applyProtection="1">
      <protection locked="0"/>
    </xf>
    <xf numFmtId="2" fontId="0" fillId="0" borderId="16" xfId="0" applyNumberFormat="1" applyBorder="1"/>
    <xf numFmtId="0" fontId="26" fillId="2" borderId="16" xfId="0" applyFont="1" applyFill="1" applyBorder="1"/>
    <xf numFmtId="7" fontId="26" fillId="2" borderId="16" xfId="0" applyNumberFormat="1" applyFont="1" applyFill="1" applyBorder="1" applyProtection="1">
      <protection locked="0"/>
    </xf>
    <xf numFmtId="0" fontId="3" fillId="0" borderId="64" xfId="0" applyFont="1" applyBorder="1" applyAlignment="1">
      <alignment horizontal="left"/>
    </xf>
    <xf numFmtId="2" fontId="8" fillId="0" borderId="19" xfId="0" applyNumberFormat="1" applyFont="1" applyBorder="1" applyProtection="1">
      <protection locked="0"/>
    </xf>
    <xf numFmtId="2" fontId="8" fillId="0" borderId="19" xfId="0" applyNumberFormat="1" applyFont="1" applyBorder="1"/>
    <xf numFmtId="0" fontId="25" fillId="0" borderId="18" xfId="0" applyFont="1" applyBorder="1" applyAlignment="1">
      <alignment horizontal="left"/>
    </xf>
    <xf numFmtId="2" fontId="25" fillId="0" borderId="19" xfId="0" applyNumberFormat="1" applyFont="1" applyBorder="1" applyProtection="1">
      <protection locked="0"/>
    </xf>
    <xf numFmtId="0" fontId="25" fillId="0" borderId="18" xfId="0" applyFont="1" applyBorder="1"/>
    <xf numFmtId="2" fontId="25" fillId="0" borderId="19" xfId="0" applyNumberFormat="1" applyFont="1" applyBorder="1"/>
    <xf numFmtId="0" fontId="26" fillId="2" borderId="18" xfId="0" applyFont="1" applyFill="1" applyBorder="1" applyAlignment="1">
      <alignment horizontal="left"/>
    </xf>
    <xf numFmtId="2" fontId="26" fillId="2" borderId="19" xfId="0" applyNumberFormat="1" applyFont="1" applyFill="1" applyBorder="1" applyProtection="1">
      <protection locked="0"/>
    </xf>
    <xf numFmtId="0" fontId="26" fillId="2" borderId="18" xfId="0" applyFont="1" applyFill="1" applyBorder="1"/>
    <xf numFmtId="2" fontId="26" fillId="2" borderId="19" xfId="0" applyNumberFormat="1" applyFont="1" applyFill="1" applyBorder="1"/>
    <xf numFmtId="2" fontId="25" fillId="2" borderId="19" xfId="0" applyNumberFormat="1" applyFont="1" applyFill="1" applyBorder="1" applyProtection="1">
      <protection locked="0"/>
    </xf>
    <xf numFmtId="0" fontId="25" fillId="0" borderId="20" xfId="0" applyFont="1" applyBorder="1"/>
    <xf numFmtId="0" fontId="25" fillId="0" borderId="21" xfId="0" applyFont="1" applyBorder="1"/>
    <xf numFmtId="2" fontId="25" fillId="0" borderId="22" xfId="0" applyNumberFormat="1" applyFont="1" applyBorder="1"/>
    <xf numFmtId="0" fontId="3" fillId="0" borderId="23" xfId="0" applyFont="1" applyBorder="1" applyAlignment="1">
      <alignment horizontal="left"/>
    </xf>
    <xf numFmtId="2" fontId="8" fillId="0" borderId="24" xfId="0" applyNumberFormat="1" applyFont="1" applyBorder="1" applyProtection="1">
      <protection locked="0"/>
    </xf>
    <xf numFmtId="2" fontId="25" fillId="0" borderId="66" xfId="0" applyNumberFormat="1" applyFont="1" applyBorder="1" applyProtection="1">
      <protection locked="0"/>
    </xf>
    <xf numFmtId="165" fontId="25" fillId="0" borderId="19" xfId="0" applyNumberFormat="1" applyFont="1" applyBorder="1" applyProtection="1">
      <protection locked="0"/>
    </xf>
    <xf numFmtId="2" fontId="4" fillId="0" borderId="19" xfId="0" applyNumberFormat="1" applyFont="1" applyBorder="1" applyProtection="1">
      <protection locked="0"/>
    </xf>
    <xf numFmtId="2" fontId="8" fillId="0" borderId="19" xfId="0" applyNumberFormat="1" applyFont="1" applyFill="1" applyBorder="1" applyProtection="1">
      <protection locked="0"/>
    </xf>
    <xf numFmtId="2" fontId="0" fillId="0" borderId="19" xfId="0" applyNumberFormat="1" applyBorder="1"/>
    <xf numFmtId="0" fontId="3" fillId="0" borderId="20" xfId="0" applyFont="1" applyBorder="1" applyAlignment="1">
      <alignment horizontal="left"/>
    </xf>
    <xf numFmtId="2" fontId="8" fillId="0" borderId="22" xfId="0" applyNumberFormat="1" applyFont="1" applyBorder="1" applyProtection="1">
      <protection locked="0"/>
    </xf>
    <xf numFmtId="1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9" xfId="0" applyFont="1" applyBorder="1"/>
    <xf numFmtId="0" fontId="3" fillId="0" borderId="16" xfId="0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166" fontId="3" fillId="0" borderId="65" xfId="0" applyNumberFormat="1" applyFont="1" applyFill="1" applyBorder="1" applyAlignment="1">
      <alignment horizontal="center"/>
    </xf>
    <xf numFmtId="166" fontId="3" fillId="0" borderId="66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8" xfId="0" applyBorder="1"/>
    <xf numFmtId="2" fontId="0" fillId="0" borderId="16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78" xfId="0" applyNumberFormat="1" applyFont="1" applyFill="1" applyBorder="1"/>
    <xf numFmtId="0" fontId="2" fillId="0" borderId="78" xfId="0" applyFont="1" applyFill="1" applyBorder="1"/>
    <xf numFmtId="0" fontId="2" fillId="0" borderId="79" xfId="0" applyFont="1" applyFill="1" applyBorder="1"/>
    <xf numFmtId="0" fontId="2" fillId="0" borderId="91" xfId="0" applyFont="1" applyFill="1" applyBorder="1"/>
    <xf numFmtId="0" fontId="2" fillId="0" borderId="92" xfId="0" applyFont="1" applyFill="1" applyBorder="1"/>
    <xf numFmtId="0" fontId="2" fillId="0" borderId="93" xfId="0" applyFont="1" applyFill="1" applyBorder="1"/>
    <xf numFmtId="0" fontId="2" fillId="0" borderId="77" xfId="0" applyFont="1" applyFill="1" applyBorder="1"/>
    <xf numFmtId="166" fontId="2" fillId="0" borderId="78" xfId="0" applyNumberFormat="1" applyFont="1" applyFill="1" applyBorder="1"/>
    <xf numFmtId="1" fontId="2" fillId="0" borderId="78" xfId="0" applyNumberFormat="1" applyFont="1" applyFill="1" applyBorder="1"/>
    <xf numFmtId="0" fontId="2" fillId="0" borderId="78" xfId="0" applyFont="1" applyFill="1" applyBorder="1" applyAlignment="1">
      <alignment horizontal="left"/>
    </xf>
    <xf numFmtId="166" fontId="2" fillId="0" borderId="78" xfId="0" applyNumberFormat="1" applyFont="1" applyFill="1" applyBorder="1" applyAlignment="1">
      <alignment horizontal="right"/>
    </xf>
    <xf numFmtId="166" fontId="2" fillId="0" borderId="78" xfId="0" applyNumberFormat="1" applyFont="1" applyFill="1" applyBorder="1" applyAlignment="1">
      <alignment horizontal="left"/>
    </xf>
    <xf numFmtId="2" fontId="2" fillId="0" borderId="78" xfId="0" applyNumberFormat="1" applyFont="1" applyFill="1" applyBorder="1"/>
    <xf numFmtId="2" fontId="2" fillId="0" borderId="79" xfId="0" applyNumberFormat="1" applyFont="1" applyFill="1" applyBorder="1"/>
    <xf numFmtId="0" fontId="2" fillId="0" borderId="94" xfId="0" applyFont="1" applyFill="1" applyBorder="1"/>
    <xf numFmtId="1" fontId="2" fillId="0" borderId="26" xfId="0" applyNumberFormat="1" applyFont="1" applyFill="1" applyBorder="1"/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2" fontId="2" fillId="0" borderId="26" xfId="0" applyNumberFormat="1" applyFont="1" applyFill="1" applyBorder="1"/>
    <xf numFmtId="2" fontId="2" fillId="0" borderId="95" xfId="0" applyNumberFormat="1" applyFont="1" applyFill="1" applyBorder="1"/>
    <xf numFmtId="1" fontId="2" fillId="0" borderId="26" xfId="0" applyNumberFormat="1" applyFont="1" applyFill="1" applyBorder="1" applyAlignment="1">
      <alignment horizontal="right"/>
    </xf>
    <xf numFmtId="9" fontId="2" fillId="0" borderId="26" xfId="0" applyNumberFormat="1" applyFont="1" applyFill="1" applyBorder="1"/>
    <xf numFmtId="9" fontId="2" fillId="0" borderId="26" xfId="0" applyNumberFormat="1" applyFont="1" applyFill="1" applyBorder="1" applyAlignment="1">
      <alignment horizontal="left"/>
    </xf>
    <xf numFmtId="0" fontId="2" fillId="0" borderId="96" xfId="0" applyFont="1" applyFill="1" applyBorder="1"/>
    <xf numFmtId="0" fontId="2" fillId="0" borderId="97" xfId="0" applyFont="1" applyFill="1" applyBorder="1"/>
    <xf numFmtId="2" fontId="2" fillId="0" borderId="98" xfId="0" applyNumberFormat="1" applyFont="1" applyFill="1" applyBorder="1"/>
    <xf numFmtId="0" fontId="1" fillId="0" borderId="76" xfId="0" applyFont="1" applyFill="1" applyBorder="1"/>
    <xf numFmtId="2" fontId="2" fillId="0" borderId="82" xfId="0" applyNumberFormat="1" applyFont="1" applyFill="1" applyBorder="1"/>
    <xf numFmtId="0" fontId="2" fillId="0" borderId="9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99" xfId="0" applyFont="1" applyFill="1" applyBorder="1"/>
    <xf numFmtId="0" fontId="2" fillId="0" borderId="25" xfId="0" applyFont="1" applyFill="1" applyBorder="1"/>
    <xf numFmtId="0" fontId="2" fillId="0" borderId="44" xfId="0" applyFont="1" applyFill="1" applyBorder="1"/>
    <xf numFmtId="0" fontId="2" fillId="0" borderId="43" xfId="0" applyFont="1" applyFill="1" applyBorder="1"/>
    <xf numFmtId="0" fontId="2" fillId="0" borderId="45" xfId="0" applyFont="1" applyFill="1" applyBorder="1"/>
    <xf numFmtId="0" fontId="2" fillId="0" borderId="47" xfId="0" applyFont="1" applyFill="1" applyBorder="1"/>
    <xf numFmtId="0" fontId="2" fillId="0" borderId="100" xfId="0" applyFont="1" applyFill="1" applyBorder="1"/>
    <xf numFmtId="0" fontId="2" fillId="0" borderId="56" xfId="0" applyFont="1" applyFill="1" applyBorder="1"/>
    <xf numFmtId="0" fontId="2" fillId="0" borderId="57" xfId="0" applyFont="1" applyFill="1" applyBorder="1"/>
    <xf numFmtId="0" fontId="2" fillId="0" borderId="52" xfId="0" applyFont="1" applyFill="1" applyBorder="1"/>
    <xf numFmtId="0" fontId="2" fillId="0" borderId="53" xfId="0" applyFont="1" applyFill="1" applyBorder="1"/>
    <xf numFmtId="0" fontId="2" fillId="0" borderId="55" xfId="0" applyFont="1" applyFill="1" applyBorder="1"/>
    <xf numFmtId="0" fontId="1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6" fontId="2" fillId="0" borderId="101" xfId="0" applyNumberFormat="1" applyFont="1" applyFill="1" applyBorder="1" applyAlignment="1">
      <alignment horizontal="center"/>
    </xf>
    <xf numFmtId="166" fontId="2" fillId="0" borderId="53" xfId="0" applyNumberFormat="1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66" fontId="2" fillId="0" borderId="102" xfId="0" applyNumberFormat="1" applyFont="1" applyFill="1" applyBorder="1" applyAlignment="1">
      <alignment horizontal="center"/>
    </xf>
    <xf numFmtId="166" fontId="2" fillId="0" borderId="43" xfId="0" applyNumberFormat="1" applyFont="1" applyFill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61" xfId="0" applyFont="1" applyFill="1" applyBorder="1"/>
    <xf numFmtId="0" fontId="2" fillId="0" borderId="54" xfId="0" applyFont="1" applyFill="1" applyBorder="1" applyAlignment="1">
      <alignment horizontal="center"/>
    </xf>
    <xf numFmtId="0" fontId="2" fillId="0" borderId="62" xfId="0" applyFont="1" applyFill="1" applyBorder="1"/>
    <xf numFmtId="0" fontId="1" fillId="0" borderId="8" xfId="0" applyFont="1" applyFill="1" applyBorder="1"/>
    <xf numFmtId="0" fontId="2" fillId="0" borderId="105" xfId="0" applyFont="1" applyFill="1" applyBorder="1"/>
    <xf numFmtId="0" fontId="2" fillId="0" borderId="59" xfId="0" applyFont="1" applyFill="1" applyBorder="1"/>
    <xf numFmtId="0" fontId="2" fillId="0" borderId="60" xfId="0" quotePrefix="1" applyFont="1" applyFill="1" applyBorder="1"/>
    <xf numFmtId="1" fontId="2" fillId="0" borderId="48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25" xfId="0" applyFont="1" applyFill="1" applyBorder="1" applyAlignment="1">
      <alignment horizontal="left"/>
    </xf>
    <xf numFmtId="0" fontId="3" fillId="0" borderId="25" xfId="0" applyFont="1" applyFill="1" applyBorder="1"/>
    <xf numFmtId="2" fontId="8" fillId="0" borderId="25" xfId="0" applyNumberFormat="1" applyFont="1" applyFill="1" applyBorder="1" applyProtection="1">
      <protection locked="0"/>
    </xf>
    <xf numFmtId="0" fontId="8" fillId="0" borderId="25" xfId="0" applyFont="1" applyFill="1" applyBorder="1" applyAlignment="1">
      <alignment horizontal="left"/>
    </xf>
    <xf numFmtId="2" fontId="3" fillId="0" borderId="25" xfId="0" applyNumberFormat="1" applyFont="1" applyFill="1" applyBorder="1"/>
    <xf numFmtId="0" fontId="5" fillId="0" borderId="52" xfId="0" applyFont="1" applyFill="1" applyBorder="1"/>
    <xf numFmtId="0" fontId="17" fillId="0" borderId="44" xfId="0" applyFont="1" applyFill="1" applyBorder="1"/>
    <xf numFmtId="0" fontId="6" fillId="0" borderId="25" xfId="0" applyFont="1" applyFill="1" applyBorder="1"/>
    <xf numFmtId="0" fontId="6" fillId="0" borderId="43" xfId="0" applyFont="1" applyFill="1" applyBorder="1"/>
    <xf numFmtId="0" fontId="6" fillId="0" borderId="0" xfId="0" applyFont="1" applyFill="1"/>
    <xf numFmtId="2" fontId="2" fillId="0" borderId="48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" fillId="0" borderId="58" xfId="0" applyFont="1" applyFill="1" applyBorder="1"/>
    <xf numFmtId="0" fontId="2" fillId="0" borderId="60" xfId="0" applyFont="1" applyFill="1" applyBorder="1"/>
    <xf numFmtId="0" fontId="2" fillId="0" borderId="46" xfId="0" applyFont="1" applyFill="1" applyBorder="1"/>
    <xf numFmtId="0" fontId="1" fillId="0" borderId="25" xfId="0" applyFont="1" applyFill="1" applyBorder="1"/>
    <xf numFmtId="2" fontId="1" fillId="0" borderId="25" xfId="0" applyNumberFormat="1" applyFont="1" applyFill="1" applyBorder="1"/>
    <xf numFmtId="0" fontId="5" fillId="0" borderId="49" xfId="0" applyFont="1" applyFill="1" applyBorder="1"/>
    <xf numFmtId="0" fontId="2" fillId="0" borderId="50" xfId="0" applyFont="1" applyFill="1" applyBorder="1"/>
    <xf numFmtId="0" fontId="2" fillId="0" borderId="51" xfId="0" applyFont="1" applyFill="1" applyBorder="1"/>
    <xf numFmtId="1" fontId="2" fillId="0" borderId="59" xfId="0" applyNumberFormat="1" applyFont="1" applyFill="1" applyBorder="1"/>
    <xf numFmtId="2" fontId="2" fillId="0" borderId="60" xfId="0" applyNumberFormat="1" applyFont="1" applyFill="1" applyBorder="1"/>
    <xf numFmtId="1" fontId="2" fillId="0" borderId="78" xfId="0" applyNumberFormat="1" applyFont="1" applyFill="1" applyBorder="1" applyAlignment="1">
      <alignment wrapText="1"/>
    </xf>
    <xf numFmtId="0" fontId="2" fillId="0" borderId="78" xfId="0" applyFont="1" applyFill="1" applyBorder="1" applyAlignment="1">
      <alignment wrapText="1"/>
    </xf>
    <xf numFmtId="166" fontId="2" fillId="0" borderId="78" xfId="0" applyNumberFormat="1" applyFont="1" applyFill="1" applyBorder="1" applyAlignment="1">
      <alignment wrapText="1"/>
    </xf>
    <xf numFmtId="2" fontId="2" fillId="0" borderId="78" xfId="0" applyNumberFormat="1" applyFont="1" applyFill="1" applyBorder="1" applyAlignment="1">
      <alignment wrapText="1"/>
    </xf>
    <xf numFmtId="2" fontId="2" fillId="0" borderId="79" xfId="0" applyNumberFormat="1" applyFont="1" applyFill="1" applyBorder="1" applyAlignment="1">
      <alignment wrapText="1"/>
    </xf>
    <xf numFmtId="0" fontId="2" fillId="0" borderId="94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166" fontId="2" fillId="0" borderId="26" xfId="0" applyNumberFormat="1" applyFont="1" applyFill="1" applyBorder="1" applyAlignment="1">
      <alignment wrapText="1"/>
    </xf>
    <xf numFmtId="2" fontId="2" fillId="0" borderId="26" xfId="0" applyNumberFormat="1" applyFont="1" applyFill="1" applyBorder="1" applyAlignment="1">
      <alignment wrapText="1"/>
    </xf>
    <xf numFmtId="2" fontId="2" fillId="0" borderId="95" xfId="0" applyNumberFormat="1" applyFont="1" applyFill="1" applyBorder="1" applyAlignment="1">
      <alignment wrapText="1"/>
    </xf>
    <xf numFmtId="1" fontId="2" fillId="0" borderId="26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166" fontId="2" fillId="0" borderId="26" xfId="0" applyNumberFormat="1" applyFont="1" applyBorder="1" applyAlignment="1">
      <alignment wrapText="1"/>
    </xf>
    <xf numFmtId="1" fontId="2" fillId="0" borderId="81" xfId="0" applyNumberFormat="1" applyFont="1" applyFill="1" applyBorder="1" applyAlignment="1">
      <alignment wrapText="1"/>
    </xf>
    <xf numFmtId="0" fontId="2" fillId="0" borderId="81" xfId="0" applyFont="1" applyFill="1" applyBorder="1" applyAlignment="1">
      <alignment wrapText="1"/>
    </xf>
    <xf numFmtId="166" fontId="2" fillId="0" borderId="81" xfId="0" applyNumberFormat="1" applyFont="1" applyBorder="1" applyAlignment="1">
      <alignment wrapText="1"/>
    </xf>
    <xf numFmtId="2" fontId="2" fillId="0" borderId="81" xfId="0" applyNumberFormat="1" applyFont="1" applyFill="1" applyBorder="1" applyAlignment="1">
      <alignment wrapText="1"/>
    </xf>
    <xf numFmtId="2" fontId="2" fillId="0" borderId="82" xfId="0" applyNumberFormat="1" applyFont="1" applyFill="1" applyBorder="1" applyAlignment="1">
      <alignment wrapText="1"/>
    </xf>
    <xf numFmtId="0" fontId="2" fillId="0" borderId="96" xfId="0" applyFont="1" applyFill="1" applyBorder="1" applyAlignment="1">
      <alignment wrapText="1"/>
    </xf>
    <xf numFmtId="0" fontId="2" fillId="0" borderId="97" xfId="0" applyFont="1" applyFill="1" applyBorder="1" applyAlignment="1">
      <alignment wrapText="1"/>
    </xf>
    <xf numFmtId="2" fontId="2" fillId="0" borderId="98" xfId="0" applyNumberFormat="1" applyFont="1" applyFill="1" applyBorder="1" applyAlignment="1">
      <alignment wrapText="1"/>
    </xf>
    <xf numFmtId="166" fontId="2" fillId="0" borderId="14" xfId="0" applyNumberFormat="1" applyFont="1" applyFill="1" applyBorder="1" applyAlignment="1">
      <alignment horizontal="center" wrapText="1"/>
    </xf>
    <xf numFmtId="2" fontId="2" fillId="0" borderId="83" xfId="0" applyNumberFormat="1" applyFont="1" applyBorder="1" applyAlignment="1">
      <alignment wrapText="1"/>
    </xf>
    <xf numFmtId="0" fontId="2" fillId="0" borderId="106" xfId="0" applyFont="1" applyFill="1" applyBorder="1"/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2" fontId="2" fillId="0" borderId="60" xfId="0" applyNumberFormat="1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2" fillId="0" borderId="109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166" fontId="2" fillId="0" borderId="58" xfId="0" applyNumberFormat="1" applyFont="1" applyFill="1" applyBorder="1" applyAlignment="1">
      <alignment horizontal="center"/>
    </xf>
    <xf numFmtId="166" fontId="2" fillId="0" borderId="60" xfId="0" applyNumberFormat="1" applyFont="1" applyFill="1" applyBorder="1" applyAlignment="1">
      <alignment horizontal="center"/>
    </xf>
    <xf numFmtId="166" fontId="2" fillId="0" borderId="74" xfId="0" applyNumberFormat="1" applyFont="1" applyFill="1" applyBorder="1" applyAlignment="1">
      <alignment horizontal="center"/>
    </xf>
    <xf numFmtId="166" fontId="2" fillId="0" borderId="99" xfId="0" applyNumberFormat="1" applyFont="1" applyFill="1" applyBorder="1" applyAlignment="1">
      <alignment horizontal="center"/>
    </xf>
    <xf numFmtId="0" fontId="2" fillId="0" borderId="104" xfId="0" applyFont="1" applyFill="1" applyBorder="1"/>
    <xf numFmtId="1" fontId="0" fillId="0" borderId="110" xfId="0" applyNumberFormat="1" applyBorder="1" applyAlignment="1">
      <alignment horizontal="center"/>
    </xf>
    <xf numFmtId="1" fontId="0" fillId="0" borderId="58" xfId="0" applyNumberFormat="1" applyBorder="1"/>
    <xf numFmtId="1" fontId="0" fillId="0" borderId="59" xfId="0" applyNumberFormat="1" applyBorder="1"/>
    <xf numFmtId="1" fontId="0" fillId="0" borderId="60" xfId="0" applyNumberFormat="1" applyBorder="1"/>
    <xf numFmtId="1" fontId="0" fillId="0" borderId="108" xfId="0" applyNumberFormat="1" applyBorder="1" applyAlignment="1">
      <alignment horizontal="center"/>
    </xf>
    <xf numFmtId="1" fontId="0" fillId="0" borderId="44" xfId="0" applyNumberFormat="1" applyBorder="1"/>
    <xf numFmtId="1" fontId="0" fillId="0" borderId="25" xfId="0" applyNumberFormat="1" applyBorder="1"/>
    <xf numFmtId="1" fontId="0" fillId="0" borderId="43" xfId="0" applyNumberFormat="1" applyBorder="1"/>
    <xf numFmtId="1" fontId="0" fillId="0" borderId="45" xfId="0" applyNumberFormat="1" applyBorder="1"/>
    <xf numFmtId="1" fontId="0" fillId="0" borderId="46" xfId="0" applyNumberFormat="1" applyBorder="1"/>
    <xf numFmtId="1" fontId="0" fillId="0" borderId="47" xfId="0" applyNumberFormat="1" applyBorder="1"/>
    <xf numFmtId="1" fontId="2" fillId="0" borderId="52" xfId="0" applyNumberFormat="1" applyFont="1" applyBorder="1"/>
    <xf numFmtId="1" fontId="2" fillId="0" borderId="48" xfId="0" applyNumberFormat="1" applyFont="1" applyBorder="1"/>
    <xf numFmtId="1" fontId="19" fillId="0" borderId="48" xfId="0" applyNumberFormat="1" applyFont="1" applyBorder="1"/>
    <xf numFmtId="1" fontId="19" fillId="0" borderId="53" xfId="0" applyNumberFormat="1" applyFont="1" applyBorder="1"/>
    <xf numFmtId="1" fontId="2" fillId="0" borderId="44" xfId="0" applyNumberFormat="1" applyFont="1" applyBorder="1"/>
    <xf numFmtId="1" fontId="2" fillId="0" borderId="25" xfId="0" applyNumberFormat="1" applyFont="1" applyBorder="1"/>
    <xf numFmtId="1" fontId="19" fillId="0" borderId="25" xfId="0" applyNumberFormat="1" applyFont="1" applyBorder="1"/>
    <xf numFmtId="1" fontId="19" fillId="0" borderId="43" xfId="0" applyNumberFormat="1" applyFont="1" applyBorder="1"/>
    <xf numFmtId="1" fontId="2" fillId="0" borderId="55" xfId="0" applyNumberFormat="1" applyFont="1" applyBorder="1"/>
    <xf numFmtId="1" fontId="2" fillId="0" borderId="56" xfId="0" applyNumberFormat="1" applyFont="1" applyBorder="1"/>
    <xf numFmtId="1" fontId="19" fillId="0" borderId="56" xfId="0" applyNumberFormat="1" applyFont="1" applyBorder="1"/>
    <xf numFmtId="1" fontId="19" fillId="0" borderId="57" xfId="0" applyNumberFormat="1" applyFont="1" applyBorder="1"/>
    <xf numFmtId="1" fontId="2" fillId="0" borderId="45" xfId="0" applyNumberFormat="1" applyFont="1" applyBorder="1"/>
    <xf numFmtId="1" fontId="2" fillId="0" borderId="46" xfId="0" applyNumberFormat="1" applyFont="1" applyBorder="1"/>
    <xf numFmtId="1" fontId="19" fillId="0" borderId="46" xfId="0" applyNumberFormat="1" applyFont="1" applyBorder="1"/>
    <xf numFmtId="1" fontId="19" fillId="0" borderId="47" xfId="0" applyNumberFormat="1" applyFont="1" applyBorder="1"/>
    <xf numFmtId="2" fontId="7" fillId="0" borderId="1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" fontId="0" fillId="0" borderId="111" xfId="0" applyNumberFormat="1" applyBorder="1"/>
    <xf numFmtId="1" fontId="0" fillId="0" borderId="102" xfId="0" applyNumberFormat="1" applyBorder="1"/>
    <xf numFmtId="1" fontId="0" fillId="0" borderId="103" xfId="0" applyNumberFormat="1" applyBorder="1"/>
    <xf numFmtId="166" fontId="7" fillId="0" borderId="12" xfId="0" applyNumberFormat="1" applyFont="1" applyBorder="1" applyAlignment="1" applyProtection="1">
      <alignment horizontal="center"/>
    </xf>
    <xf numFmtId="166" fontId="7" fillId="0" borderId="10" xfId="0" applyNumberFormat="1" applyFont="1" applyBorder="1" applyAlignment="1" applyProtection="1">
      <alignment horizontal="center"/>
    </xf>
    <xf numFmtId="1" fontId="2" fillId="0" borderId="2" xfId="0" applyNumberFormat="1" applyFont="1" applyBorder="1"/>
    <xf numFmtId="1" fontId="0" fillId="0" borderId="112" xfId="0" applyNumberFormat="1" applyBorder="1"/>
    <xf numFmtId="1" fontId="0" fillId="0" borderId="113" xfId="0" applyNumberFormat="1" applyBorder="1"/>
    <xf numFmtId="1" fontId="0" fillId="0" borderId="114" xfId="0" applyNumberFormat="1" applyBorder="1"/>
    <xf numFmtId="1" fontId="0" fillId="0" borderId="115" xfId="0" applyNumberFormat="1" applyBorder="1"/>
    <xf numFmtId="1" fontId="0" fillId="0" borderId="106" xfId="0" applyNumberFormat="1" applyBorder="1" applyAlignment="1">
      <alignment horizontal="center"/>
    </xf>
    <xf numFmtId="2" fontId="7" fillId="0" borderId="47" xfId="0" applyNumberFormat="1" applyFont="1" applyBorder="1" applyAlignment="1" applyProtection="1">
      <alignment horizontal="right"/>
    </xf>
    <xf numFmtId="2" fontId="6" fillId="0" borderId="43" xfId="0" applyNumberFormat="1" applyFont="1" applyFill="1" applyBorder="1" applyAlignment="1" applyProtection="1">
      <alignment horizontal="right"/>
    </xf>
    <xf numFmtId="0" fontId="6" fillId="0" borderId="52" xfId="0" applyFont="1" applyBorder="1"/>
    <xf numFmtId="166" fontId="6" fillId="0" borderId="48" xfId="0" applyNumberFormat="1" applyFont="1" applyBorder="1" applyProtection="1"/>
    <xf numFmtId="2" fontId="6" fillId="0" borderId="48" xfId="0" applyNumberFormat="1" applyFont="1" applyBorder="1"/>
    <xf numFmtId="1" fontId="6" fillId="0" borderId="48" xfId="0" applyNumberFormat="1" applyFont="1" applyBorder="1"/>
    <xf numFmtId="2" fontId="6" fillId="0" borderId="53" xfId="0" applyNumberFormat="1" applyFont="1" applyBorder="1"/>
    <xf numFmtId="0" fontId="17" fillId="0" borderId="44" xfId="0" applyFont="1" applyBorder="1" applyAlignment="1" applyProtection="1">
      <alignment horizontal="left"/>
      <protection locked="0"/>
    </xf>
    <xf numFmtId="166" fontId="6" fillId="0" borderId="25" xfId="0" applyNumberFormat="1" applyFont="1" applyFill="1" applyBorder="1" applyProtection="1"/>
    <xf numFmtId="2" fontId="6" fillId="0" borderId="25" xfId="0" applyNumberFormat="1" applyFont="1" applyFill="1" applyBorder="1" applyAlignment="1" applyProtection="1"/>
    <xf numFmtId="1" fontId="6" fillId="0" borderId="25" xfId="0" applyNumberFormat="1" applyFont="1" applyFill="1" applyBorder="1" applyProtection="1">
      <protection locked="0"/>
    </xf>
    <xf numFmtId="2" fontId="6" fillId="0" borderId="25" xfId="0" applyNumberFormat="1" applyFont="1" applyBorder="1" applyAlignment="1" applyProtection="1"/>
    <xf numFmtId="2" fontId="6" fillId="0" borderId="25" xfId="0" applyNumberFormat="1" applyFont="1" applyBorder="1" applyProtection="1">
      <protection locked="0"/>
    </xf>
    <xf numFmtId="2" fontId="6" fillId="0" borderId="43" xfId="0" applyNumberFormat="1" applyFont="1" applyBorder="1" applyProtection="1"/>
    <xf numFmtId="0" fontId="6" fillId="0" borderId="44" xfId="0" applyFont="1" applyBorder="1" applyAlignment="1" applyProtection="1">
      <alignment horizontal="left"/>
      <protection locked="0"/>
    </xf>
    <xf numFmtId="166" fontId="6" fillId="0" borderId="25" xfId="0" applyNumberFormat="1" applyFont="1" applyFill="1" applyBorder="1" applyProtection="1">
      <protection locked="0"/>
    </xf>
    <xf numFmtId="2" fontId="6" fillId="0" borderId="25" xfId="0" applyNumberFormat="1" applyFont="1" applyBorder="1" applyProtection="1"/>
    <xf numFmtId="0" fontId="17" fillId="0" borderId="44" xfId="0" applyFont="1" applyBorder="1" applyAlignment="1">
      <alignment horizontal="left"/>
    </xf>
    <xf numFmtId="166" fontId="6" fillId="0" borderId="25" xfId="0" applyNumberFormat="1" applyFont="1" applyFill="1" applyBorder="1" applyAlignment="1" applyProtection="1">
      <protection locked="0"/>
    </xf>
    <xf numFmtId="166" fontId="6" fillId="0" borderId="25" xfId="0" applyNumberFormat="1" applyFont="1" applyFill="1" applyBorder="1" applyAlignment="1" applyProtection="1"/>
    <xf numFmtId="1" fontId="6" fillId="0" borderId="25" xfId="0" applyNumberFormat="1" applyFont="1" applyFill="1" applyBorder="1" applyAlignment="1" applyProtection="1">
      <protection locked="0"/>
    </xf>
    <xf numFmtId="2" fontId="6" fillId="0" borderId="25" xfId="0" applyNumberFormat="1" applyFont="1" applyBorder="1" applyAlignment="1" applyProtection="1">
      <protection locked="0"/>
    </xf>
    <xf numFmtId="2" fontId="6" fillId="0" borderId="43" xfId="0" applyNumberFormat="1" applyFont="1" applyBorder="1" applyAlignment="1" applyProtection="1"/>
    <xf numFmtId="0" fontId="6" fillId="0" borderId="44" xfId="0" applyFont="1" applyBorder="1" applyAlignment="1"/>
    <xf numFmtId="0" fontId="6" fillId="0" borderId="44" xfId="0" applyFont="1" applyBorder="1" applyAlignment="1">
      <alignment horizontal="left"/>
    </xf>
    <xf numFmtId="2" fontId="2" fillId="0" borderId="43" xfId="0" applyNumberFormat="1" applyFont="1" applyBorder="1"/>
    <xf numFmtId="0" fontId="6" fillId="0" borderId="44" xfId="0" applyFont="1" applyBorder="1"/>
    <xf numFmtId="2" fontId="6" fillId="0" borderId="25" xfId="0" applyNumberFormat="1" applyFont="1" applyBorder="1"/>
    <xf numFmtId="166" fontId="6" fillId="0" borderId="25" xfId="0" applyNumberFormat="1" applyFont="1" applyFill="1" applyBorder="1"/>
    <xf numFmtId="2" fontId="6" fillId="0" borderId="25" xfId="0" applyNumberFormat="1" applyFont="1" applyFill="1" applyBorder="1"/>
    <xf numFmtId="1" fontId="6" fillId="0" borderId="25" xfId="0" applyNumberFormat="1" applyFont="1" applyFill="1" applyBorder="1"/>
    <xf numFmtId="0" fontId="6" fillId="0" borderId="55" xfId="0" applyFont="1" applyBorder="1" applyAlignment="1" applyProtection="1">
      <alignment horizontal="left"/>
      <protection locked="0"/>
    </xf>
    <xf numFmtId="166" fontId="6" fillId="0" borderId="56" xfId="0" applyNumberFormat="1" applyFont="1" applyFill="1" applyBorder="1" applyProtection="1">
      <protection locked="0"/>
    </xf>
    <xf numFmtId="2" fontId="6" fillId="0" borderId="56" xfId="0" applyNumberFormat="1" applyFont="1" applyFill="1" applyBorder="1" applyAlignment="1" applyProtection="1"/>
    <xf numFmtId="1" fontId="6" fillId="0" borderId="56" xfId="0" applyNumberFormat="1" applyFont="1" applyFill="1" applyBorder="1" applyProtection="1">
      <protection locked="0"/>
    </xf>
    <xf numFmtId="2" fontId="6" fillId="0" borderId="56" xfId="0" applyNumberFormat="1" applyFont="1" applyBorder="1" applyAlignment="1" applyProtection="1"/>
    <xf numFmtId="2" fontId="6" fillId="0" borderId="56" xfId="0" applyNumberFormat="1" applyFont="1" applyBorder="1" applyProtection="1">
      <protection locked="0"/>
    </xf>
    <xf numFmtId="2" fontId="6" fillId="0" borderId="56" xfId="0" applyNumberFormat="1" applyFont="1" applyBorder="1" applyProtection="1"/>
    <xf numFmtId="2" fontId="6" fillId="0" borderId="57" xfId="0" applyNumberFormat="1" applyFont="1" applyBorder="1" applyProtection="1"/>
    <xf numFmtId="0" fontId="6" fillId="0" borderId="58" xfId="0" applyFont="1" applyBorder="1" applyAlignment="1">
      <alignment horizontal="fill"/>
    </xf>
    <xf numFmtId="166" fontId="6" fillId="0" borderId="59" xfId="0" applyNumberFormat="1" applyFont="1" applyFill="1" applyBorder="1" applyAlignment="1" applyProtection="1">
      <alignment horizontal="fill"/>
    </xf>
    <xf numFmtId="2" fontId="6" fillId="0" borderId="59" xfId="0" applyNumberFormat="1" applyFont="1" applyFill="1" applyBorder="1" applyAlignment="1">
      <alignment horizontal="fill"/>
    </xf>
    <xf numFmtId="1" fontId="6" fillId="0" borderId="59" xfId="0" applyNumberFormat="1" applyFont="1" applyFill="1" applyBorder="1" applyAlignment="1">
      <alignment horizontal="fill"/>
    </xf>
    <xf numFmtId="2" fontId="6" fillId="0" borderId="59" xfId="0" applyNumberFormat="1" applyFont="1" applyBorder="1" applyAlignment="1">
      <alignment horizontal="fill"/>
    </xf>
    <xf numFmtId="2" fontId="6" fillId="0" borderId="60" xfId="0" applyNumberFormat="1" applyFont="1" applyBorder="1" applyAlignment="1">
      <alignment horizontal="fill"/>
    </xf>
    <xf numFmtId="0" fontId="6" fillId="0" borderId="45" xfId="0" applyFont="1" applyBorder="1" applyAlignment="1">
      <alignment horizontal="left"/>
    </xf>
    <xf numFmtId="166" fontId="6" fillId="0" borderId="46" xfId="0" applyNumberFormat="1" applyFont="1" applyBorder="1" applyProtection="1"/>
    <xf numFmtId="2" fontId="6" fillId="0" borderId="46" xfId="0" applyNumberFormat="1" applyFont="1" applyBorder="1" applyProtection="1"/>
    <xf numFmtId="1" fontId="6" fillId="0" borderId="46" xfId="0" applyNumberFormat="1" applyFont="1" applyBorder="1"/>
    <xf numFmtId="2" fontId="6" fillId="0" borderId="47" xfId="0" applyNumberFormat="1" applyFont="1" applyBorder="1" applyProtection="1"/>
    <xf numFmtId="0" fontId="6" fillId="0" borderId="52" xfId="0" applyFont="1" applyFill="1" applyBorder="1"/>
    <xf numFmtId="166" fontId="6" fillId="0" borderId="48" xfId="0" applyNumberFormat="1" applyFont="1" applyFill="1" applyBorder="1" applyProtection="1"/>
    <xf numFmtId="2" fontId="6" fillId="0" borderId="48" xfId="0" applyNumberFormat="1" applyFont="1" applyFill="1" applyBorder="1"/>
    <xf numFmtId="1" fontId="6" fillId="0" borderId="48" xfId="0" applyNumberFormat="1" applyFont="1" applyFill="1" applyBorder="1"/>
    <xf numFmtId="2" fontId="6" fillId="0" borderId="53" xfId="0" applyNumberFormat="1" applyFont="1" applyFill="1" applyBorder="1"/>
    <xf numFmtId="0" fontId="17" fillId="0" borderId="44" xfId="0" applyFont="1" applyFill="1" applyBorder="1" applyAlignment="1" applyProtection="1">
      <alignment horizontal="left"/>
      <protection locked="0"/>
    </xf>
    <xf numFmtId="2" fontId="6" fillId="0" borderId="25" xfId="0" applyNumberFormat="1" applyFont="1" applyFill="1" applyBorder="1" applyProtection="1">
      <protection locked="0"/>
    </xf>
    <xf numFmtId="2" fontId="6" fillId="0" borderId="43" xfId="0" applyNumberFormat="1" applyFont="1" applyFill="1" applyBorder="1" applyProtection="1"/>
    <xf numFmtId="0" fontId="6" fillId="0" borderId="44" xfId="0" applyFont="1" applyFill="1" applyBorder="1" applyAlignment="1" applyProtection="1">
      <alignment horizontal="left"/>
      <protection locked="0"/>
    </xf>
    <xf numFmtId="2" fontId="6" fillId="0" borderId="25" xfId="0" quotePrefix="1" applyNumberFormat="1" applyFont="1" applyFill="1" applyBorder="1" applyAlignment="1" applyProtection="1"/>
    <xf numFmtId="2" fontId="6" fillId="0" borderId="25" xfId="0" applyNumberFormat="1" applyFont="1" applyFill="1" applyBorder="1" applyProtection="1"/>
    <xf numFmtId="0" fontId="17" fillId="0" borderId="44" xfId="0" applyFont="1" applyFill="1" applyBorder="1" applyAlignment="1">
      <alignment horizontal="left"/>
    </xf>
    <xf numFmtId="2" fontId="6" fillId="0" borderId="25" xfId="0" applyNumberFormat="1" applyFont="1" applyFill="1" applyBorder="1" applyAlignment="1" applyProtection="1">
      <protection locked="0"/>
    </xf>
    <xf numFmtId="2" fontId="6" fillId="0" borderId="43" xfId="0" applyNumberFormat="1" applyFont="1" applyFill="1" applyBorder="1" applyAlignment="1" applyProtection="1"/>
    <xf numFmtId="0" fontId="6" fillId="0" borderId="44" xfId="0" applyFont="1" applyFill="1" applyBorder="1" applyAlignment="1"/>
    <xf numFmtId="0" fontId="6" fillId="0" borderId="44" xfId="0" applyFont="1" applyFill="1" applyBorder="1" applyAlignment="1">
      <alignment horizontal="left"/>
    </xf>
    <xf numFmtId="0" fontId="6" fillId="0" borderId="44" xfId="0" applyFont="1" applyFill="1" applyBorder="1"/>
    <xf numFmtId="0" fontId="6" fillId="0" borderId="55" xfId="0" applyFont="1" applyFill="1" applyBorder="1" applyAlignment="1" applyProtection="1">
      <alignment horizontal="left"/>
      <protection locked="0"/>
    </xf>
    <xf numFmtId="2" fontId="6" fillId="0" borderId="56" xfId="0" applyNumberFormat="1" applyFont="1" applyFill="1" applyBorder="1" applyProtection="1">
      <protection locked="0"/>
    </xf>
    <xf numFmtId="2" fontId="6" fillId="0" borderId="56" xfId="0" applyNumberFormat="1" applyFont="1" applyFill="1" applyBorder="1" applyProtection="1"/>
    <xf numFmtId="2" fontId="6" fillId="0" borderId="57" xfId="0" applyNumberFormat="1" applyFont="1" applyFill="1" applyBorder="1" applyProtection="1"/>
    <xf numFmtId="0" fontId="6" fillId="0" borderId="58" xfId="0" applyFont="1" applyFill="1" applyBorder="1" applyAlignment="1">
      <alignment horizontal="fill"/>
    </xf>
    <xf numFmtId="2" fontId="6" fillId="0" borderId="60" xfId="0" applyNumberFormat="1" applyFont="1" applyFill="1" applyBorder="1" applyAlignment="1">
      <alignment horizontal="fill"/>
    </xf>
    <xf numFmtId="0" fontId="6" fillId="0" borderId="45" xfId="0" applyFont="1" applyFill="1" applyBorder="1" applyAlignment="1">
      <alignment horizontal="left"/>
    </xf>
    <xf numFmtId="166" fontId="6" fillId="0" borderId="46" xfId="0" applyNumberFormat="1" applyFont="1" applyFill="1" applyBorder="1" applyProtection="1"/>
    <xf numFmtId="2" fontId="6" fillId="0" borderId="46" xfId="0" applyNumberFormat="1" applyFont="1" applyFill="1" applyBorder="1" applyProtection="1"/>
    <xf numFmtId="1" fontId="6" fillId="0" borderId="46" xfId="0" applyNumberFormat="1" applyFont="1" applyFill="1" applyBorder="1"/>
    <xf numFmtId="2" fontId="6" fillId="0" borderId="47" xfId="0" applyNumberFormat="1" applyFont="1" applyFill="1" applyBorder="1" applyProtection="1"/>
    <xf numFmtId="0" fontId="6" fillId="0" borderId="14" xfId="0" applyFont="1" applyBorder="1" applyAlignment="1">
      <alignment horizontal="center" wrapText="1"/>
    </xf>
    <xf numFmtId="166" fontId="6" fillId="0" borderId="14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6" fontId="6" fillId="0" borderId="48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2" fontId="6" fillId="0" borderId="25" xfId="0" applyNumberFormat="1" applyFont="1" applyFill="1" applyBorder="1" applyAlignment="1">
      <alignment horizontal="right"/>
    </xf>
    <xf numFmtId="166" fontId="6" fillId="0" borderId="25" xfId="0" applyNumberFormat="1" applyFont="1" applyBorder="1" applyProtection="1">
      <protection locked="0"/>
    </xf>
    <xf numFmtId="1" fontId="6" fillId="0" borderId="25" xfId="0" applyNumberFormat="1" applyFont="1" applyBorder="1" applyProtection="1">
      <protection locked="0"/>
    </xf>
    <xf numFmtId="0" fontId="6" fillId="0" borderId="55" xfId="0" applyFont="1" applyBorder="1" applyAlignment="1">
      <alignment horizontal="fill"/>
    </xf>
    <xf numFmtId="166" fontId="6" fillId="0" borderId="56" xfId="0" applyNumberFormat="1" applyFont="1" applyBorder="1" applyAlignment="1">
      <alignment horizontal="fill"/>
    </xf>
    <xf numFmtId="2" fontId="6" fillId="0" borderId="56" xfId="0" applyNumberFormat="1" applyFont="1" applyBorder="1" applyAlignment="1">
      <alignment horizontal="fill"/>
    </xf>
    <xf numFmtId="1" fontId="6" fillId="0" borderId="56" xfId="0" applyNumberFormat="1" applyFont="1" applyBorder="1" applyAlignment="1">
      <alignment horizontal="fill"/>
    </xf>
    <xf numFmtId="2" fontId="6" fillId="0" borderId="57" xfId="0" applyNumberFormat="1" applyFont="1" applyBorder="1" applyAlignment="1">
      <alignment horizontal="fill"/>
    </xf>
    <xf numFmtId="0" fontId="6" fillId="0" borderId="0" xfId="0" applyFont="1" applyBorder="1"/>
    <xf numFmtId="166" fontId="6" fillId="0" borderId="59" xfId="0" applyNumberFormat="1" applyFont="1" applyBorder="1" applyAlignment="1">
      <alignment horizontal="fill"/>
    </xf>
    <xf numFmtId="1" fontId="6" fillId="0" borderId="59" xfId="0" applyNumberFormat="1" applyFont="1" applyBorder="1" applyAlignment="1">
      <alignment horizontal="fill"/>
    </xf>
    <xf numFmtId="1" fontId="6" fillId="0" borderId="46" xfId="0" applyNumberFormat="1" applyFont="1" applyBorder="1" applyProtection="1"/>
    <xf numFmtId="166" fontId="6" fillId="0" borderId="25" xfId="0" applyNumberFormat="1" applyFont="1" applyBorder="1" applyProtection="1"/>
    <xf numFmtId="1" fontId="6" fillId="0" borderId="25" xfId="0" applyNumberFormat="1" applyFont="1" applyBorder="1" applyProtection="1"/>
    <xf numFmtId="0" fontId="6" fillId="0" borderId="45" xfId="0" applyFont="1" applyBorder="1"/>
    <xf numFmtId="166" fontId="6" fillId="0" borderId="46" xfId="0" applyNumberFormat="1" applyFont="1" applyBorder="1"/>
    <xf numFmtId="2" fontId="6" fillId="0" borderId="46" xfId="0" applyNumberFormat="1" applyFont="1" applyBorder="1"/>
    <xf numFmtId="2" fontId="6" fillId="0" borderId="47" xfId="0" applyNumberFormat="1" applyFont="1" applyBorder="1"/>
    <xf numFmtId="0" fontId="6" fillId="0" borderId="52" xfId="0" applyFont="1" applyBorder="1" applyAlignment="1">
      <alignment horizontal="fill"/>
    </xf>
    <xf numFmtId="166" fontId="6" fillId="0" borderId="48" xfId="0" applyNumberFormat="1" applyFont="1" applyBorder="1" applyAlignment="1">
      <alignment horizontal="fill"/>
    </xf>
    <xf numFmtId="2" fontId="6" fillId="0" borderId="48" xfId="0" applyNumberFormat="1" applyFont="1" applyBorder="1" applyAlignment="1">
      <alignment horizontal="fill"/>
    </xf>
    <xf numFmtId="1" fontId="6" fillId="0" borderId="48" xfId="0" applyNumberFormat="1" applyFont="1" applyBorder="1" applyAlignment="1">
      <alignment horizontal="fill"/>
    </xf>
    <xf numFmtId="2" fontId="6" fillId="0" borderId="53" xfId="0" applyNumberFormat="1" applyFont="1" applyBorder="1" applyAlignment="1">
      <alignment horizontal="fill"/>
    </xf>
    <xf numFmtId="166" fontId="24" fillId="0" borderId="25" xfId="0" applyNumberFormat="1" applyFont="1" applyBorder="1" applyAlignment="1" applyProtection="1">
      <protection locked="0"/>
    </xf>
    <xf numFmtId="2" fontId="24" fillId="0" borderId="25" xfId="0" applyNumberFormat="1" applyFont="1" applyBorder="1" applyAlignment="1" applyProtection="1">
      <protection locked="0"/>
    </xf>
    <xf numFmtId="1" fontId="24" fillId="0" borderId="25" xfId="0" applyNumberFormat="1" applyFont="1" applyBorder="1" applyAlignment="1" applyProtection="1">
      <protection locked="0"/>
    </xf>
    <xf numFmtId="2" fontId="6" fillId="0" borderId="25" xfId="0" applyNumberFormat="1" applyFont="1" applyBorder="1" applyAlignment="1"/>
    <xf numFmtId="2" fontId="6" fillId="0" borderId="43" xfId="0" applyNumberFormat="1" applyFont="1" applyBorder="1" applyAlignment="1"/>
    <xf numFmtId="0" fontId="6" fillId="0" borderId="0" xfId="0" applyFont="1" applyAlignment="1">
      <alignment horizontal="left"/>
    </xf>
    <xf numFmtId="166" fontId="6" fillId="0" borderId="25" xfId="0" applyNumberFormat="1" applyFont="1" applyBorder="1" applyAlignment="1" applyProtection="1">
      <protection locked="0"/>
    </xf>
    <xf numFmtId="166" fontId="6" fillId="0" borderId="25" xfId="0" applyNumberFormat="1" applyFont="1" applyBorder="1" applyAlignment="1" applyProtection="1"/>
    <xf numFmtId="1" fontId="6" fillId="0" borderId="25" xfId="0" applyNumberFormat="1" applyFont="1" applyBorder="1" applyAlignment="1" applyProtection="1">
      <protection locked="0"/>
    </xf>
    <xf numFmtId="1" fontId="6" fillId="0" borderId="25" xfId="0" applyNumberFormat="1" applyFont="1" applyBorder="1" applyAlignment="1"/>
    <xf numFmtId="166" fontId="6" fillId="0" borderId="25" xfId="0" applyNumberFormat="1" applyFont="1" applyBorder="1" applyAlignment="1"/>
    <xf numFmtId="0" fontId="6" fillId="0" borderId="25" xfId="0" applyFont="1" applyBorder="1" applyAlignment="1"/>
    <xf numFmtId="0" fontId="6" fillId="0" borderId="43" xfId="0" applyFont="1" applyBorder="1" applyAlignment="1"/>
    <xf numFmtId="166" fontId="2" fillId="0" borderId="25" xfId="0" applyNumberFormat="1" applyFont="1" applyBorder="1"/>
    <xf numFmtId="166" fontId="6" fillId="0" borderId="25" xfId="0" applyNumberFormat="1" applyFont="1" applyBorder="1"/>
    <xf numFmtId="166" fontId="6" fillId="0" borderId="25" xfId="0" applyNumberFormat="1" applyFont="1" applyBorder="1" applyAlignment="1">
      <alignment horizontal="left"/>
    </xf>
    <xf numFmtId="1" fontId="6" fillId="0" borderId="25" xfId="0" applyNumberFormat="1" applyFont="1" applyBorder="1"/>
    <xf numFmtId="0" fontId="6" fillId="0" borderId="55" xfId="0" applyFont="1" applyBorder="1" applyAlignment="1">
      <alignment horizontal="left"/>
    </xf>
    <xf numFmtId="166" fontId="6" fillId="0" borderId="56" xfId="0" applyNumberFormat="1" applyFont="1" applyBorder="1" applyAlignment="1" applyProtection="1">
      <protection locked="0"/>
    </xf>
    <xf numFmtId="1" fontId="6" fillId="0" borderId="56" xfId="0" applyNumberFormat="1" applyFont="1" applyBorder="1" applyAlignment="1" applyProtection="1">
      <protection locked="0"/>
    </xf>
    <xf numFmtId="2" fontId="6" fillId="0" borderId="56" xfId="0" applyNumberFormat="1" applyFont="1" applyBorder="1" applyAlignment="1" applyProtection="1">
      <protection locked="0"/>
    </xf>
    <xf numFmtId="2" fontId="6" fillId="0" borderId="57" xfId="0" applyNumberFormat="1" applyFont="1" applyBorder="1" applyAlignment="1" applyProtection="1"/>
    <xf numFmtId="166" fontId="6" fillId="0" borderId="59" xfId="0" applyNumberFormat="1" applyFont="1" applyBorder="1" applyAlignment="1" applyProtection="1">
      <alignment horizontal="fill"/>
    </xf>
    <xf numFmtId="166" fontId="2" fillId="0" borderId="48" xfId="0" applyNumberFormat="1" applyFont="1" applyBorder="1" applyProtection="1"/>
    <xf numFmtId="2" fontId="2" fillId="0" borderId="53" xfId="0" applyNumberFormat="1" applyFont="1" applyBorder="1"/>
    <xf numFmtId="166" fontId="6" fillId="0" borderId="56" xfId="0" applyNumberFormat="1" applyFont="1" applyBorder="1" applyProtection="1">
      <protection locked="0"/>
    </xf>
    <xf numFmtId="1" fontId="6" fillId="0" borderId="56" xfId="0" applyNumberFormat="1" applyFont="1" applyBorder="1" applyProtection="1">
      <protection locked="0"/>
    </xf>
    <xf numFmtId="0" fontId="2" fillId="0" borderId="0" xfId="0" applyFont="1" applyBorder="1"/>
    <xf numFmtId="0" fontId="17" fillId="0" borderId="52" xfId="0" applyFont="1" applyBorder="1" applyAlignment="1" applyProtection="1">
      <alignment horizontal="left"/>
      <protection locked="0"/>
    </xf>
    <xf numFmtId="2" fontId="6" fillId="0" borderId="48" xfId="0" applyNumberFormat="1" applyFont="1" applyBorder="1" applyAlignment="1" applyProtection="1"/>
    <xf numFmtId="1" fontId="6" fillId="0" borderId="48" xfId="0" applyNumberFormat="1" applyFont="1" applyBorder="1" applyProtection="1">
      <protection locked="0"/>
    </xf>
    <xf numFmtId="2" fontId="6" fillId="0" borderId="48" xfId="0" applyNumberFormat="1" applyFont="1" applyBorder="1" applyProtection="1">
      <protection locked="0"/>
    </xf>
    <xf numFmtId="2" fontId="6" fillId="0" borderId="53" xfId="0" applyNumberFormat="1" applyFont="1" applyBorder="1" applyProtection="1"/>
    <xf numFmtId="0" fontId="17" fillId="0" borderId="112" xfId="0" applyFont="1" applyBorder="1"/>
    <xf numFmtId="166" fontId="6" fillId="0" borderId="113" xfId="0" applyNumberFormat="1" applyFont="1" applyBorder="1"/>
    <xf numFmtId="2" fontId="6" fillId="0" borderId="113" xfId="0" applyNumberFormat="1" applyFont="1" applyBorder="1"/>
    <xf numFmtId="1" fontId="6" fillId="0" borderId="113" xfId="0" applyNumberFormat="1" applyFont="1" applyBorder="1"/>
    <xf numFmtId="2" fontId="6" fillId="0" borderId="115" xfId="0" applyNumberFormat="1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166" fontId="2" fillId="0" borderId="48" xfId="0" applyNumberFormat="1" applyFont="1" applyBorder="1"/>
    <xf numFmtId="2" fontId="1" fillId="0" borderId="53" xfId="0" applyNumberFormat="1" applyFont="1" applyBorder="1"/>
    <xf numFmtId="0" fontId="5" fillId="0" borderId="44" xfId="0" applyFont="1" applyBorder="1"/>
    <xf numFmtId="2" fontId="1" fillId="0" borderId="43" xfId="0" applyNumberFormat="1" applyFont="1" applyBorder="1"/>
    <xf numFmtId="0" fontId="5" fillId="0" borderId="45" xfId="0" applyFont="1" applyBorder="1"/>
    <xf numFmtId="166" fontId="2" fillId="0" borderId="46" xfId="0" applyNumberFormat="1" applyFont="1" applyBorder="1"/>
    <xf numFmtId="2" fontId="1" fillId="0" borderId="47" xfId="0" applyNumberFormat="1" applyFont="1" applyBorder="1"/>
    <xf numFmtId="166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7" fillId="0" borderId="44" xfId="0" applyFont="1" applyFill="1" applyBorder="1" applyAlignment="1" applyProtection="1">
      <alignment horizontal="left"/>
      <protection locked="0"/>
    </xf>
    <xf numFmtId="0" fontId="15" fillId="0" borderId="44" xfId="0" applyFont="1" applyFill="1" applyBorder="1" applyAlignment="1">
      <alignment horizontal="left"/>
    </xf>
    <xf numFmtId="0" fontId="7" fillId="0" borderId="44" xfId="0" applyFont="1" applyFill="1" applyBorder="1" applyAlignment="1"/>
    <xf numFmtId="0" fontId="7" fillId="0" borderId="44" xfId="0" applyFont="1" applyFill="1" applyBorder="1" applyAlignment="1">
      <alignment horizontal="left"/>
    </xf>
    <xf numFmtId="0" fontId="15" fillId="0" borderId="4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/>
    <xf numFmtId="2" fontId="1" fillId="2" borderId="7" xfId="0" applyNumberFormat="1" applyFont="1" applyFill="1" applyBorder="1"/>
    <xf numFmtId="2" fontId="1" fillId="2" borderId="0" xfId="0" applyNumberFormat="1" applyFont="1" applyFill="1" applyBorder="1"/>
    <xf numFmtId="2" fontId="1" fillId="2" borderId="4" xfId="0" applyNumberFormat="1" applyFont="1" applyFill="1" applyBorder="1"/>
    <xf numFmtId="2" fontId="2" fillId="0" borderId="19" xfId="0" applyNumberFormat="1" applyFont="1" applyFill="1" applyBorder="1" applyAlignment="1">
      <alignment wrapText="1"/>
    </xf>
    <xf numFmtId="2" fontId="2" fillId="0" borderId="22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5" xfId="0" applyFont="1" applyFill="1" applyBorder="1"/>
    <xf numFmtId="0" fontId="1" fillId="0" borderId="8" xfId="0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2" fontId="2" fillId="0" borderId="24" xfId="0" applyNumberFormat="1" applyFont="1" applyFill="1" applyBorder="1" applyAlignment="1">
      <alignment wrapText="1"/>
    </xf>
    <xf numFmtId="0" fontId="2" fillId="0" borderId="116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40" xfId="0" applyFont="1" applyFill="1" applyBorder="1"/>
    <xf numFmtId="1" fontId="2" fillId="0" borderId="35" xfId="0" applyNumberFormat="1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118" xfId="0" applyFont="1" applyFill="1" applyBorder="1"/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1" fontId="1" fillId="0" borderId="119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 wrapText="1"/>
    </xf>
    <xf numFmtId="1" fontId="0" fillId="0" borderId="66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17" xfId="0" applyNumberFormat="1" applyBorder="1" applyAlignment="1">
      <alignment horizontal="center"/>
    </xf>
    <xf numFmtId="1" fontId="0" fillId="0" borderId="120" xfId="0" applyNumberFormat="1" applyBorder="1" applyAlignment="1">
      <alignment horizontal="center"/>
    </xf>
    <xf numFmtId="1" fontId="0" fillId="0" borderId="117" xfId="0" applyNumberFormat="1" applyFill="1" applyBorder="1" applyAlignment="1">
      <alignment horizontal="center" wrapText="1"/>
    </xf>
    <xf numFmtId="1" fontId="0" fillId="0" borderId="73" xfId="0" applyNumberForma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0" fillId="0" borderId="116" xfId="0" applyNumberFormat="1" applyBorder="1" applyAlignment="1">
      <alignment horizontal="center"/>
    </xf>
    <xf numFmtId="1" fontId="0" fillId="0" borderId="121" xfId="0" applyNumberFormat="1" applyBorder="1" applyAlignment="1">
      <alignment horizontal="center"/>
    </xf>
    <xf numFmtId="1" fontId="2" fillId="0" borderId="122" xfId="0" applyNumberFormat="1" applyFont="1" applyFill="1" applyBorder="1" applyAlignment="1">
      <alignment horizontal="center"/>
    </xf>
    <xf numFmtId="1" fontId="2" fillId="0" borderId="123" xfId="0" applyNumberFormat="1" applyFont="1" applyFill="1" applyBorder="1" applyAlignment="1">
      <alignment horizontal="center"/>
    </xf>
    <xf numFmtId="1" fontId="0" fillId="0" borderId="123" xfId="0" applyNumberFormat="1" applyBorder="1" applyAlignment="1">
      <alignment horizontal="center"/>
    </xf>
    <xf numFmtId="1" fontId="0" fillId="0" borderId="123" xfId="0" applyNumberFormat="1" applyFill="1" applyBorder="1" applyAlignment="1">
      <alignment horizontal="center" wrapText="1"/>
    </xf>
    <xf numFmtId="1" fontId="0" fillId="0" borderId="124" xfId="0" applyNumberForma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25" xfId="0" applyNumberFormat="1" applyBorder="1" applyAlignment="1">
      <alignment horizontal="center"/>
    </xf>
    <xf numFmtId="1" fontId="0" fillId="0" borderId="126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/>
    <xf numFmtId="2" fontId="1" fillId="0" borderId="14" xfId="0" applyNumberFormat="1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0" xfId="0" applyFont="1" applyFill="1" applyBorder="1" applyAlignment="1">
      <alignment horizontal="center"/>
    </xf>
    <xf numFmtId="2" fontId="1" fillId="0" borderId="30" xfId="0" applyNumberFormat="1" applyFont="1" applyFill="1" applyBorder="1"/>
    <xf numFmtId="166" fontId="1" fillId="0" borderId="14" xfId="0" applyNumberFormat="1" applyFont="1" applyBorder="1"/>
    <xf numFmtId="0" fontId="1" fillId="0" borderId="127" xfId="0" applyFont="1" applyFill="1" applyBorder="1"/>
    <xf numFmtId="0" fontId="2" fillId="0" borderId="128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12" xfId="0" applyNumberFormat="1" applyFont="1" applyFill="1" applyBorder="1"/>
    <xf numFmtId="2" fontId="1" fillId="0" borderId="129" xfId="0" applyNumberFormat="1" applyFont="1" applyFill="1" applyBorder="1"/>
    <xf numFmtId="1" fontId="1" fillId="0" borderId="130" xfId="0" applyNumberFormat="1" applyFont="1" applyFill="1" applyBorder="1"/>
    <xf numFmtId="0" fontId="1" fillId="0" borderId="131" xfId="0" applyFont="1" applyFill="1" applyBorder="1"/>
    <xf numFmtId="0" fontId="1" fillId="0" borderId="131" xfId="0" applyFont="1" applyFill="1" applyBorder="1" applyAlignment="1">
      <alignment horizontal="center"/>
    </xf>
    <xf numFmtId="2" fontId="1" fillId="0" borderId="131" xfId="0" applyNumberFormat="1" applyFont="1" applyFill="1" applyBorder="1"/>
    <xf numFmtId="166" fontId="1" fillId="0" borderId="9" xfId="0" applyNumberFormat="1" applyFont="1" applyBorder="1"/>
    <xf numFmtId="166" fontId="0" fillId="2" borderId="14" xfId="0" applyNumberFormat="1" applyFill="1" applyBorder="1"/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0" fontId="6" fillId="0" borderId="16" xfId="0" applyNumberFormat="1" applyFont="1" applyFill="1" applyBorder="1" applyProtection="1">
      <protection locked="0"/>
    </xf>
    <xf numFmtId="0" fontId="6" fillId="0" borderId="16" xfId="0" applyFont="1" applyFill="1" applyBorder="1"/>
    <xf numFmtId="0" fontId="6" fillId="0" borderId="16" xfId="0" applyNumberFormat="1" applyFont="1" applyFill="1" applyBorder="1"/>
    <xf numFmtId="0" fontId="17" fillId="0" borderId="16" xfId="0" applyNumberFormat="1" applyFont="1" applyFill="1" applyBorder="1"/>
    <xf numFmtId="0" fontId="6" fillId="0" borderId="7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Protection="1"/>
    <xf numFmtId="0" fontId="2" fillId="0" borderId="0" xfId="0" applyFont="1" applyFill="1" applyBorder="1"/>
    <xf numFmtId="0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Protection="1"/>
    <xf numFmtId="2" fontId="6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/>
    <xf numFmtId="1" fontId="6" fillId="0" borderId="16" xfId="0" applyNumberFormat="1" applyFont="1" applyFill="1" applyBorder="1" applyProtection="1">
      <protection locked="0"/>
    </xf>
    <xf numFmtId="1" fontId="6" fillId="0" borderId="16" xfId="0" applyNumberFormat="1" applyFont="1" applyFill="1" applyBorder="1" applyProtection="1"/>
    <xf numFmtId="166" fontId="6" fillId="0" borderId="16" xfId="0" applyNumberFormat="1" applyFont="1" applyFill="1" applyBorder="1" applyProtection="1"/>
    <xf numFmtId="1" fontId="6" fillId="0" borderId="16" xfId="0" applyNumberFormat="1" applyFont="1" applyFill="1" applyBorder="1"/>
    <xf numFmtId="2" fontId="6" fillId="0" borderId="16" xfId="0" applyNumberFormat="1" applyFont="1" applyFill="1" applyBorder="1" applyProtection="1"/>
    <xf numFmtId="166" fontId="6" fillId="0" borderId="16" xfId="0" applyNumberFormat="1" applyFont="1" applyFill="1" applyBorder="1"/>
    <xf numFmtId="8" fontId="6" fillId="0" borderId="16" xfId="0" applyNumberFormat="1" applyFont="1" applyFill="1" applyBorder="1"/>
    <xf numFmtId="165" fontId="6" fillId="0" borderId="16" xfId="0" applyNumberFormat="1" applyFont="1" applyFill="1" applyBorder="1"/>
    <xf numFmtId="1" fontId="6" fillId="0" borderId="0" xfId="0" applyNumberFormat="1" applyFont="1" applyFill="1" applyProtection="1"/>
    <xf numFmtId="0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/>
    <xf numFmtId="0" fontId="6" fillId="0" borderId="18" xfId="0" applyNumberFormat="1" applyFont="1" applyFill="1" applyBorder="1" applyProtection="1">
      <protection locked="0"/>
    </xf>
    <xf numFmtId="2" fontId="6" fillId="0" borderId="19" xfId="0" applyNumberFormat="1" applyFont="1" applyFill="1" applyBorder="1" applyProtection="1"/>
    <xf numFmtId="0" fontId="6" fillId="0" borderId="18" xfId="0" applyNumberFormat="1" applyFont="1" applyFill="1" applyBorder="1"/>
    <xf numFmtId="1" fontId="6" fillId="0" borderId="19" xfId="0" applyNumberFormat="1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1" fontId="6" fillId="0" borderId="21" xfId="0" applyNumberFormat="1" applyFont="1" applyFill="1" applyBorder="1" applyProtection="1"/>
    <xf numFmtId="0" fontId="2" fillId="0" borderId="22" xfId="0" applyFont="1" applyFill="1" applyBorder="1"/>
    <xf numFmtId="0" fontId="0" fillId="0" borderId="19" xfId="0" applyBorder="1"/>
    <xf numFmtId="0" fontId="2" fillId="0" borderId="18" xfId="0" applyFont="1" applyBorder="1"/>
    <xf numFmtId="1" fontId="0" fillId="0" borderId="18" xfId="0" applyNumberFormat="1" applyBorder="1"/>
    <xf numFmtId="1" fontId="0" fillId="0" borderId="21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1" fontId="0" fillId="0" borderId="17" xfId="0" applyNumberFormat="1" applyBorder="1"/>
    <xf numFmtId="2" fontId="0" fillId="0" borderId="17" xfId="0" applyNumberFormat="1" applyBorder="1"/>
    <xf numFmtId="0" fontId="0" fillId="0" borderId="67" xfId="0" applyBorder="1"/>
    <xf numFmtId="0" fontId="0" fillId="0" borderId="68" xfId="0" applyBorder="1"/>
    <xf numFmtId="2" fontId="22" fillId="0" borderId="19" xfId="0" applyNumberFormat="1" applyFont="1" applyBorder="1"/>
    <xf numFmtId="2" fontId="0" fillId="0" borderId="63" xfId="0" applyNumberFormat="1" applyBorder="1"/>
    <xf numFmtId="2" fontId="22" fillId="0" borderId="68" xfId="0" applyNumberFormat="1" applyFont="1" applyBorder="1"/>
    <xf numFmtId="0" fontId="0" fillId="0" borderId="24" xfId="0" applyBorder="1"/>
    <xf numFmtId="1" fontId="0" fillId="0" borderId="65" xfId="0" applyNumberFormat="1" applyBorder="1"/>
    <xf numFmtId="0" fontId="12" fillId="0" borderId="18" xfId="0" applyFont="1" applyBorder="1"/>
    <xf numFmtId="0" fontId="5" fillId="0" borderId="132" xfId="0" applyFont="1" applyBorder="1"/>
    <xf numFmtId="0" fontId="0" fillId="0" borderId="133" xfId="0" applyBorder="1"/>
    <xf numFmtId="1" fontId="0" fillId="0" borderId="133" xfId="0" applyNumberFormat="1" applyBorder="1"/>
    <xf numFmtId="0" fontId="0" fillId="0" borderId="134" xfId="0" applyBorder="1"/>
    <xf numFmtId="1" fontId="0" fillId="0" borderId="63" xfId="0" applyNumberFormat="1" applyBorder="1"/>
    <xf numFmtId="2" fontId="0" fillId="0" borderId="24" xfId="0" applyNumberFormat="1" applyBorder="1"/>
    <xf numFmtId="0" fontId="2" fillId="0" borderId="23" xfId="0" applyFont="1" applyBorder="1"/>
    <xf numFmtId="2" fontId="0" fillId="2" borderId="16" xfId="0" applyNumberFormat="1" applyFill="1" applyBorder="1"/>
    <xf numFmtId="2" fontId="0" fillId="2" borderId="19" xfId="0" applyNumberFormat="1" applyFill="1" applyBorder="1"/>
    <xf numFmtId="0" fontId="18" fillId="0" borderId="58" xfId="0" applyFont="1" applyFill="1" applyBorder="1"/>
    <xf numFmtId="0" fontId="18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5" fontId="2" fillId="0" borderId="25" xfId="0" applyNumberFormat="1" applyFont="1" applyFill="1" applyBorder="1"/>
    <xf numFmtId="167" fontId="2" fillId="0" borderId="43" xfId="0" applyNumberFormat="1" applyFont="1" applyFill="1" applyBorder="1"/>
    <xf numFmtId="1" fontId="2" fillId="0" borderId="43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/>
    <xf numFmtId="2" fontId="2" fillId="0" borderId="43" xfId="0" applyNumberFormat="1" applyFont="1" applyFill="1" applyBorder="1" applyAlignment="1"/>
    <xf numFmtId="0" fontId="6" fillId="0" borderId="14" xfId="0" applyFont="1" applyFill="1" applyBorder="1" applyAlignment="1">
      <alignment horizontal="center" wrapText="1"/>
    </xf>
    <xf numFmtId="166" fontId="6" fillId="0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0" fontId="2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/>
    <xf numFmtId="2" fontId="6" fillId="0" borderId="0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/>
    <xf numFmtId="0" fontId="2" fillId="0" borderId="0" xfId="0" applyFont="1" applyFill="1" applyBorder="1" applyAlignment="1">
      <alignment horizontal="right"/>
    </xf>
    <xf numFmtId="2" fontId="2" fillId="0" borderId="6" xfId="0" applyNumberFormat="1" applyFont="1" applyFill="1" applyBorder="1"/>
    <xf numFmtId="2" fontId="2" fillId="0" borderId="97" xfId="0" applyNumberFormat="1" applyFont="1" applyFill="1" applyBorder="1"/>
    <xf numFmtId="2" fontId="2" fillId="0" borderId="135" xfId="0" applyNumberFormat="1" applyFont="1" applyFill="1" applyBorder="1"/>
    <xf numFmtId="2" fontId="2" fillId="0" borderId="56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46" xfId="0" applyNumberFormat="1" applyFont="1" applyFill="1" applyBorder="1"/>
    <xf numFmtId="2" fontId="2" fillId="0" borderId="56" xfId="0" applyNumberFormat="1" applyFont="1" applyFill="1" applyBorder="1"/>
    <xf numFmtId="167" fontId="2" fillId="0" borderId="57" xfId="0" applyNumberFormat="1" applyFont="1" applyFill="1" applyBorder="1"/>
    <xf numFmtId="0" fontId="18" fillId="0" borderId="49" xfId="0" applyFont="1" applyFill="1" applyBorder="1"/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0" fontId="2" fillId="0" borderId="54" xfId="0" applyFont="1" applyFill="1" applyBorder="1"/>
    <xf numFmtId="2" fontId="2" fillId="0" borderId="54" xfId="0" applyNumberFormat="1" applyFont="1" applyFill="1" applyBorder="1"/>
    <xf numFmtId="0" fontId="2" fillId="0" borderId="54" xfId="0" applyFont="1" applyFill="1" applyBorder="1" applyAlignment="1"/>
    <xf numFmtId="0" fontId="2" fillId="0" borderId="62" xfId="0" applyFont="1" applyFill="1" applyBorder="1" applyAlignment="1"/>
    <xf numFmtId="0" fontId="2" fillId="0" borderId="60" xfId="0" applyFont="1" applyFill="1" applyBorder="1" applyAlignment="1"/>
    <xf numFmtId="2" fontId="2" fillId="0" borderId="48" xfId="0" applyNumberFormat="1" applyFont="1" applyFill="1" applyBorder="1" applyAlignment="1"/>
    <xf numFmtId="2" fontId="2" fillId="0" borderId="59" xfId="0" applyNumberFormat="1" applyFont="1" applyFill="1" applyBorder="1"/>
    <xf numFmtId="0" fontId="2" fillId="0" borderId="46" xfId="0" applyFont="1" applyFill="1" applyBorder="1" applyAlignment="1"/>
    <xf numFmtId="2" fontId="2" fillId="0" borderId="47" xfId="0" applyNumberFormat="1" applyFont="1" applyFill="1" applyBorder="1" applyAlignment="1"/>
    <xf numFmtId="0" fontId="1" fillId="0" borderId="49" xfId="0" applyFont="1" applyFill="1" applyBorder="1"/>
    <xf numFmtId="2" fontId="2" fillId="0" borderId="50" xfId="0" applyNumberFormat="1" applyFont="1" applyFill="1" applyBorder="1"/>
    <xf numFmtId="2" fontId="2" fillId="0" borderId="51" xfId="0" applyNumberFormat="1" applyFont="1" applyFill="1" applyBorder="1"/>
    <xf numFmtId="0" fontId="2" fillId="0" borderId="112" xfId="0" applyFont="1" applyFill="1" applyBorder="1"/>
    <xf numFmtId="0" fontId="2" fillId="0" borderId="113" xfId="0" applyFont="1" applyFill="1" applyBorder="1"/>
    <xf numFmtId="2" fontId="2" fillId="0" borderId="113" xfId="0" applyNumberFormat="1" applyFont="1" applyFill="1" applyBorder="1"/>
    <xf numFmtId="2" fontId="2" fillId="0" borderId="115" xfId="0" applyNumberFormat="1" applyFont="1" applyFill="1" applyBorder="1"/>
    <xf numFmtId="0" fontId="18" fillId="0" borderId="136" xfId="0" applyFont="1" applyFill="1" applyBorder="1"/>
    <xf numFmtId="0" fontId="18" fillId="0" borderId="137" xfId="0" applyFont="1" applyFill="1" applyBorder="1"/>
    <xf numFmtId="0" fontId="18" fillId="0" borderId="138" xfId="0" applyFont="1" applyFill="1" applyBorder="1"/>
    <xf numFmtId="1" fontId="2" fillId="0" borderId="56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2" fontId="2" fillId="0" borderId="46" xfId="0" applyNumberFormat="1" applyFont="1" applyFill="1" applyBorder="1" applyAlignment="1">
      <alignment horizontal="center"/>
    </xf>
    <xf numFmtId="0" fontId="2" fillId="0" borderId="49" xfId="0" applyFont="1" applyFill="1" applyBorder="1"/>
    <xf numFmtId="2" fontId="1" fillId="0" borderId="50" xfId="0" applyNumberFormat="1" applyFont="1" applyFill="1" applyBorder="1"/>
    <xf numFmtId="2" fontId="2" fillId="0" borderId="50" xfId="0" applyNumberFormat="1" applyFont="1" applyFill="1" applyBorder="1" applyAlignment="1"/>
    <xf numFmtId="2" fontId="1" fillId="0" borderId="51" xfId="0" applyNumberFormat="1" applyFont="1" applyFill="1" applyBorder="1" applyAlignment="1"/>
    <xf numFmtId="0" fontId="2" fillId="0" borderId="50" xfId="0" applyFont="1" applyFill="1" applyBorder="1" applyAlignment="1"/>
    <xf numFmtId="0" fontId="2" fillId="0" borderId="113" xfId="0" applyFont="1" applyFill="1" applyBorder="1" applyAlignment="1"/>
    <xf numFmtId="2" fontId="2" fillId="0" borderId="53" xfId="0" applyNumberFormat="1" applyFont="1" applyFill="1" applyBorder="1" applyAlignment="1"/>
    <xf numFmtId="2" fontId="2" fillId="0" borderId="97" xfId="0" quotePrefix="1" applyNumberFormat="1" applyFont="1" applyFill="1" applyBorder="1" applyAlignment="1" applyProtection="1"/>
    <xf numFmtId="2" fontId="2" fillId="0" borderId="139" xfId="0" applyNumberFormat="1" applyFont="1" applyFill="1" applyBorder="1" applyProtection="1"/>
    <xf numFmtId="2" fontId="2" fillId="0" borderId="26" xfId="0" quotePrefix="1" applyNumberFormat="1" applyFont="1" applyFill="1" applyBorder="1" applyAlignment="1" applyProtection="1"/>
    <xf numFmtId="2" fontId="2" fillId="0" borderId="135" xfId="0" applyNumberFormat="1" applyFont="1" applyFill="1" applyBorder="1" applyProtection="1"/>
    <xf numFmtId="2" fontId="2" fillId="0" borderId="55" xfId="0" quotePrefix="1" applyNumberFormat="1" applyFont="1" applyFill="1" applyBorder="1" applyAlignment="1" applyProtection="1"/>
    <xf numFmtId="2" fontId="2" fillId="0" borderId="140" xfId="0" applyNumberFormat="1" applyFont="1" applyFill="1" applyBorder="1"/>
    <xf numFmtId="2" fontId="2" fillId="0" borderId="81" xfId="0" quotePrefix="1" applyNumberFormat="1" applyFont="1" applyFill="1" applyBorder="1" applyAlignment="1" applyProtection="1"/>
    <xf numFmtId="2" fontId="2" fillId="0" borderId="141" xfId="0" applyNumberFormat="1" applyFont="1" applyFill="1" applyBorder="1" applyProtection="1"/>
    <xf numFmtId="2" fontId="2" fillId="0" borderId="78" xfId="0" quotePrefix="1" applyNumberFormat="1" applyFont="1" applyFill="1" applyBorder="1" applyAlignment="1" applyProtection="1"/>
    <xf numFmtId="2" fontId="2" fillId="0" borderId="142" xfId="0" applyNumberFormat="1" applyFont="1" applyFill="1" applyBorder="1"/>
    <xf numFmtId="2" fontId="2" fillId="0" borderId="143" xfId="0" applyNumberFormat="1" applyFont="1" applyFill="1" applyBorder="1"/>
    <xf numFmtId="2" fontId="2" fillId="0" borderId="144" xfId="0" applyNumberFormat="1" applyFont="1" applyFill="1" applyBorder="1"/>
    <xf numFmtId="0" fontId="2" fillId="0" borderId="144" xfId="0" applyFont="1" applyFill="1" applyBorder="1"/>
    <xf numFmtId="2" fontId="2" fillId="0" borderId="144" xfId="0" quotePrefix="1" applyNumberFormat="1" applyFont="1" applyFill="1" applyBorder="1" applyAlignment="1" applyProtection="1"/>
    <xf numFmtId="2" fontId="2" fillId="0" borderId="12" xfId="0" applyNumberFormat="1" applyFont="1" applyFill="1" applyBorder="1" applyProtection="1"/>
    <xf numFmtId="167" fontId="2" fillId="0" borderId="51" xfId="0" applyNumberFormat="1" applyFont="1" applyFill="1" applyBorder="1"/>
    <xf numFmtId="167" fontId="2" fillId="0" borderId="60" xfId="0" applyNumberFormat="1" applyFont="1" applyFill="1" applyBorder="1"/>
    <xf numFmtId="2" fontId="2" fillId="0" borderId="58" xfId="0" applyNumberFormat="1" applyFont="1" applyFill="1" applyBorder="1" applyAlignment="1">
      <alignment horizontal="left"/>
    </xf>
    <xf numFmtId="0" fontId="7" fillId="0" borderId="2" xfId="0" applyFont="1" applyBorder="1"/>
    <xf numFmtId="166" fontId="7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2" fontId="7" fillId="0" borderId="3" xfId="0" applyNumberFormat="1" applyFont="1" applyBorder="1"/>
    <xf numFmtId="0" fontId="0" fillId="0" borderId="132" xfId="0" applyBorder="1"/>
    <xf numFmtId="0" fontId="0" fillId="0" borderId="133" xfId="0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1" fillId="0" borderId="132" xfId="0" applyFont="1" applyBorder="1"/>
    <xf numFmtId="0" fontId="2" fillId="0" borderId="87" xfId="0" applyFont="1" applyBorder="1"/>
    <xf numFmtId="0" fontId="0" fillId="0" borderId="145" xfId="0" applyBorder="1"/>
    <xf numFmtId="1" fontId="0" fillId="0" borderId="134" xfId="0" applyNumberFormat="1" applyBorder="1"/>
    <xf numFmtId="166" fontId="0" fillId="0" borderId="18" xfId="0" applyNumberFormat="1" applyBorder="1" applyAlignment="1">
      <alignment horizontal="center"/>
    </xf>
    <xf numFmtId="1" fontId="0" fillId="0" borderId="133" xfId="0" applyNumberFormat="1" applyBorder="1" applyAlignment="1">
      <alignment horizontal="center"/>
    </xf>
    <xf numFmtId="1" fontId="0" fillId="0" borderId="134" xfId="0" applyNumberFormat="1" applyBorder="1" applyAlignment="1">
      <alignment horizontal="center"/>
    </xf>
    <xf numFmtId="166" fontId="0" fillId="0" borderId="132" xfId="0" applyNumberFormat="1" applyBorder="1" applyAlignment="1">
      <alignment horizontal="center"/>
    </xf>
    <xf numFmtId="166" fontId="0" fillId="0" borderId="133" xfId="0" applyNumberFormat="1" applyBorder="1" applyAlignment="1">
      <alignment horizontal="center"/>
    </xf>
    <xf numFmtId="166" fontId="0" fillId="0" borderId="134" xfId="0" applyNumberFormat="1" applyBorder="1" applyAlignment="1">
      <alignment horizontal="center"/>
    </xf>
    <xf numFmtId="1" fontId="0" fillId="0" borderId="146" xfId="0" applyNumberForma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2" fillId="0" borderId="148" xfId="0" applyFont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1" fillId="0" borderId="64" xfId="0" applyFont="1" applyBorder="1"/>
    <xf numFmtId="0" fontId="1" fillId="0" borderId="14" xfId="0" applyFont="1" applyBorder="1" applyAlignment="1">
      <alignment horizontal="center"/>
    </xf>
    <xf numFmtId="0" fontId="0" fillId="0" borderId="9" xfId="0" applyBorder="1"/>
    <xf numFmtId="0" fontId="2" fillId="0" borderId="132" xfId="0" applyFont="1" applyBorder="1"/>
    <xf numFmtId="0" fontId="0" fillId="0" borderId="150" xfId="0" applyBorder="1"/>
    <xf numFmtId="1" fontId="0" fillId="0" borderId="151" xfId="0" applyNumberFormat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1" fontId="0" fillId="0" borderId="122" xfId="0" applyNumberFormat="1" applyBorder="1" applyAlignment="1">
      <alignment horizontal="center"/>
    </xf>
    <xf numFmtId="1" fontId="0" fillId="0" borderId="152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153" xfId="0" applyNumberFormat="1" applyBorder="1" applyAlignment="1">
      <alignment horizontal="center"/>
    </xf>
    <xf numFmtId="1" fontId="0" fillId="0" borderId="145" xfId="0" applyNumberFormat="1" applyBorder="1" applyAlignment="1">
      <alignment horizontal="center"/>
    </xf>
    <xf numFmtId="1" fontId="0" fillId="0" borderId="15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51" xfId="0" applyNumberFormat="1" applyFont="1" applyBorder="1" applyAlignment="1">
      <alignment horizontal="center"/>
    </xf>
    <xf numFmtId="2" fontId="0" fillId="0" borderId="87" xfId="0" applyNumberFormat="1" applyBorder="1" applyAlignment="1">
      <alignment horizontal="center"/>
    </xf>
    <xf numFmtId="2" fontId="0" fillId="0" borderId="123" xfId="0" applyNumberFormat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2" fontId="0" fillId="0" borderId="124" xfId="0" applyNumberFormat="1" applyBorder="1" applyAlignment="1">
      <alignment horizontal="center"/>
    </xf>
    <xf numFmtId="0" fontId="0" fillId="0" borderId="151" xfId="0" applyBorder="1" applyAlignment="1">
      <alignment horizontal="center"/>
    </xf>
    <xf numFmtId="2" fontId="0" fillId="0" borderId="15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0" xfId="0" applyBorder="1" applyAlignment="1">
      <alignment horizontal="center"/>
    </xf>
    <xf numFmtId="0" fontId="23" fillId="0" borderId="132" xfId="0" applyFont="1" applyBorder="1"/>
    <xf numFmtId="166" fontId="0" fillId="0" borderId="64" xfId="0" applyNumberFormat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2" fillId="0" borderId="154" xfId="0" applyFont="1" applyBorder="1" applyAlignment="1">
      <alignment horizontal="center"/>
    </xf>
    <xf numFmtId="2" fontId="0" fillId="0" borderId="65" xfId="0" applyNumberFormat="1" applyBorder="1"/>
    <xf numFmtId="2" fontId="22" fillId="0" borderId="66" xfId="0" applyNumberFormat="1" applyFont="1" applyBorder="1"/>
    <xf numFmtId="0" fontId="2" fillId="0" borderId="12" xfId="0" applyFont="1" applyBorder="1" applyAlignment="1">
      <alignment horizontal="center"/>
    </xf>
    <xf numFmtId="2" fontId="0" fillId="0" borderId="120" xfId="0" applyNumberFormat="1" applyBorder="1"/>
    <xf numFmtId="2" fontId="0" fillId="0" borderId="117" xfId="0" applyNumberFormat="1" applyBorder="1"/>
    <xf numFmtId="2" fontId="0" fillId="0" borderId="126" xfId="0" applyNumberFormat="1" applyBorder="1"/>
    <xf numFmtId="2" fontId="0" fillId="0" borderId="12" xfId="0" applyNumberFormat="1" applyBorder="1"/>
    <xf numFmtId="0" fontId="0" fillId="0" borderId="88" xfId="0" applyBorder="1"/>
    <xf numFmtId="0" fontId="0" fillId="0" borderId="89" xfId="0" applyBorder="1"/>
    <xf numFmtId="0" fontId="12" fillId="0" borderId="23" xfId="0" applyFont="1" applyBorder="1" applyAlignment="1">
      <alignment horizontal="left"/>
    </xf>
    <xf numFmtId="2" fontId="3" fillId="0" borderId="151" xfId="0" applyNumberFormat="1" applyFont="1" applyBorder="1"/>
    <xf numFmtId="2" fontId="3" fillId="0" borderId="24" xfId="0" applyNumberFormat="1" applyFont="1" applyBorder="1"/>
    <xf numFmtId="0" fontId="3" fillId="0" borderId="116" xfId="0" applyFont="1" applyBorder="1"/>
    <xf numFmtId="2" fontId="3" fillId="0" borderId="19" xfId="0" applyNumberFormat="1" applyFont="1" applyBorder="1"/>
    <xf numFmtId="0" fontId="3" fillId="0" borderId="22" xfId="0" applyFont="1" applyBorder="1"/>
    <xf numFmtId="2" fontId="3" fillId="0" borderId="22" xfId="0" applyNumberFormat="1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5" xfId="0" applyFont="1" applyBorder="1"/>
    <xf numFmtId="0" fontId="3" fillId="0" borderId="63" xfId="0" applyFont="1" applyBorder="1"/>
    <xf numFmtId="0" fontId="12" fillId="0" borderId="65" xfId="0" applyFont="1" applyBorder="1" applyAlignment="1">
      <alignment horizontal="center"/>
    </xf>
    <xf numFmtId="0" fontId="13" fillId="0" borderId="64" xfId="0" applyFont="1" applyBorder="1" applyAlignment="1">
      <alignment horizontal="left"/>
    </xf>
    <xf numFmtId="0" fontId="16" fillId="0" borderId="67" xfId="0" applyFont="1" applyBorder="1" applyAlignment="1">
      <alignment horizontal="left"/>
    </xf>
    <xf numFmtId="0" fontId="3" fillId="0" borderId="68" xfId="0" applyFont="1" applyBorder="1"/>
    <xf numFmtId="0" fontId="16" fillId="0" borderId="84" xfId="0" applyFont="1" applyBorder="1" applyAlignment="1">
      <alignment horizontal="left"/>
    </xf>
    <xf numFmtId="0" fontId="16" fillId="0" borderId="8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64" xfId="0" applyFont="1" applyBorder="1"/>
    <xf numFmtId="0" fontId="12" fillId="0" borderId="66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" fontId="2" fillId="0" borderId="34" xfId="0" applyNumberFormat="1" applyFont="1" applyFill="1" applyBorder="1"/>
    <xf numFmtId="2" fontId="2" fillId="0" borderId="155" xfId="0" applyNumberFormat="1" applyFont="1" applyFill="1" applyBorder="1"/>
    <xf numFmtId="0" fontId="6" fillId="0" borderId="23" xfId="0" applyNumberFormat="1" applyFont="1" applyFill="1" applyBorder="1" applyProtection="1">
      <protection locked="0"/>
    </xf>
    <xf numFmtId="0" fontId="6" fillId="0" borderId="17" xfId="0" applyFont="1" applyFill="1" applyBorder="1"/>
    <xf numFmtId="1" fontId="6" fillId="0" borderId="17" xfId="0" applyNumberFormat="1" applyFont="1" applyFill="1" applyBorder="1" applyProtection="1">
      <protection locked="0"/>
    </xf>
    <xf numFmtId="1" fontId="6" fillId="0" borderId="17" xfId="0" applyNumberFormat="1" applyFont="1" applyFill="1" applyBorder="1"/>
    <xf numFmtId="1" fontId="6" fillId="0" borderId="17" xfId="0" applyNumberFormat="1" applyFont="1" applyFill="1" applyBorder="1" applyProtection="1"/>
    <xf numFmtId="166" fontId="6" fillId="0" borderId="17" xfId="0" applyNumberFormat="1" applyFont="1" applyFill="1" applyBorder="1"/>
    <xf numFmtId="0" fontId="6" fillId="0" borderId="17" xfId="0" applyNumberFormat="1" applyFont="1" applyFill="1" applyBorder="1"/>
    <xf numFmtId="2" fontId="6" fillId="0" borderId="17" xfId="0" applyNumberFormat="1" applyFont="1" applyFill="1" applyBorder="1"/>
    <xf numFmtId="2" fontId="6" fillId="0" borderId="24" xfId="0" applyNumberFormat="1" applyFont="1" applyFill="1" applyBorder="1" applyProtection="1"/>
    <xf numFmtId="0" fontId="6" fillId="0" borderId="20" xfId="0" applyNumberFormat="1" applyFont="1" applyFill="1" applyBorder="1" applyProtection="1">
      <protection locked="0"/>
    </xf>
    <xf numFmtId="0" fontId="6" fillId="0" borderId="21" xfId="0" applyNumberFormat="1" applyFont="1" applyFill="1" applyBorder="1" applyAlignment="1" applyProtection="1">
      <alignment horizontal="left"/>
      <protection locked="0"/>
    </xf>
    <xf numFmtId="1" fontId="6" fillId="0" borderId="21" xfId="0" applyNumberFormat="1" applyFont="1" applyFill="1" applyBorder="1" applyProtection="1">
      <protection locked="0"/>
    </xf>
    <xf numFmtId="166" fontId="6" fillId="0" borderId="21" xfId="0" applyNumberFormat="1" applyFont="1" applyFill="1" applyBorder="1" applyProtection="1"/>
    <xf numFmtId="0" fontId="6" fillId="0" borderId="21" xfId="0" applyNumberFormat="1" applyFont="1" applyFill="1" applyBorder="1" applyProtection="1"/>
    <xf numFmtId="1" fontId="6" fillId="0" borderId="21" xfId="0" applyNumberFormat="1" applyFont="1" applyFill="1" applyBorder="1"/>
    <xf numFmtId="2" fontId="6" fillId="0" borderId="21" xfId="0" applyNumberFormat="1" applyFont="1" applyFill="1" applyBorder="1" applyProtection="1"/>
    <xf numFmtId="2" fontId="6" fillId="0" borderId="22" xfId="0" applyNumberFormat="1" applyFont="1" applyFill="1" applyBorder="1" applyProtection="1"/>
    <xf numFmtId="0" fontId="6" fillId="0" borderId="23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Protection="1"/>
    <xf numFmtId="0" fontId="6" fillId="0" borderId="17" xfId="0" applyNumberFormat="1" applyFont="1" applyFill="1" applyBorder="1" applyProtection="1"/>
    <xf numFmtId="2" fontId="6" fillId="0" borderId="17" xfId="0" applyNumberFormat="1" applyFont="1" applyFill="1" applyBorder="1" applyAlignment="1">
      <alignment horizontal="center"/>
    </xf>
    <xf numFmtId="2" fontId="6" fillId="0" borderId="24" xfId="0" applyNumberFormat="1" applyFont="1" applyFill="1" applyBorder="1"/>
    <xf numFmtId="0" fontId="6" fillId="0" borderId="16" xfId="0" applyNumberFormat="1" applyFont="1" applyFill="1" applyBorder="1" applyAlignment="1" applyProtection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/>
    <xf numFmtId="9" fontId="6" fillId="0" borderId="17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14" fillId="0" borderId="132" xfId="0" applyNumberFormat="1" applyFont="1" applyFill="1" applyBorder="1" applyAlignment="1">
      <alignment horizontal="left"/>
    </xf>
    <xf numFmtId="0" fontId="2" fillId="0" borderId="133" xfId="0" applyFont="1" applyFill="1" applyBorder="1"/>
    <xf numFmtId="0" fontId="6" fillId="0" borderId="133" xfId="0" applyNumberFormat="1" applyFont="1" applyFill="1" applyBorder="1"/>
    <xf numFmtId="2" fontId="6" fillId="0" borderId="133" xfId="0" applyNumberFormat="1" applyFont="1" applyFill="1" applyBorder="1"/>
    <xf numFmtId="2" fontId="6" fillId="0" borderId="134" xfId="0" applyNumberFormat="1" applyFont="1" applyFill="1" applyBorder="1"/>
    <xf numFmtId="0" fontId="0" fillId="0" borderId="9" xfId="0" applyFill="1" applyBorder="1" applyAlignment="1">
      <alignment horizontal="center" wrapText="1"/>
    </xf>
    <xf numFmtId="166" fontId="0" fillId="0" borderId="9" xfId="0" applyNumberFormat="1" applyFill="1" applyBorder="1" applyAlignment="1">
      <alignment horizontal="center" wrapText="1"/>
    </xf>
    <xf numFmtId="168" fontId="0" fillId="0" borderId="16" xfId="0" applyNumberFormat="1" applyBorder="1"/>
    <xf numFmtId="168" fontId="0" fillId="0" borderId="19" xfId="0" applyNumberFormat="1" applyBorder="1"/>
    <xf numFmtId="168" fontId="0" fillId="0" borderId="21" xfId="0" applyNumberFormat="1" applyBorder="1"/>
    <xf numFmtId="0" fontId="2" fillId="0" borderId="63" xfId="0" applyFont="1" applyBorder="1"/>
    <xf numFmtId="0" fontId="27" fillId="0" borderId="133" xfId="0" applyFont="1" applyBorder="1" applyAlignment="1">
      <alignment wrapText="1"/>
    </xf>
    <xf numFmtId="0" fontId="27" fillId="0" borderId="134" xfId="0" applyFont="1" applyFill="1" applyBorder="1" applyAlignment="1">
      <alignment wrapText="1"/>
    </xf>
    <xf numFmtId="168" fontId="0" fillId="0" borderId="65" xfId="0" applyNumberFormat="1" applyBorder="1"/>
    <xf numFmtId="168" fontId="0" fillId="0" borderId="22" xfId="0" applyNumberFormat="1" applyBorder="1"/>
    <xf numFmtId="168" fontId="0" fillId="0" borderId="66" xfId="0" applyNumberFormat="1" applyBorder="1"/>
    <xf numFmtId="2" fontId="0" fillId="0" borderId="0" xfId="0" applyNumberFormat="1" applyBorder="1" applyAlignment="1">
      <alignment horizontal="center"/>
    </xf>
    <xf numFmtId="0" fontId="5" fillId="0" borderId="15" xfId="0" applyFont="1" applyBorder="1"/>
    <xf numFmtId="0" fontId="5" fillId="0" borderId="11" xfId="0" applyFont="1" applyBorder="1"/>
    <xf numFmtId="0" fontId="5" fillId="0" borderId="12" xfId="0" applyFont="1" applyBorder="1"/>
    <xf numFmtId="0" fontId="12" fillId="0" borderId="14" xfId="0" applyFont="1" applyBorder="1" applyAlignment="1">
      <alignment horizontal="center"/>
    </xf>
    <xf numFmtId="0" fontId="1" fillId="0" borderId="15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13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56" xfId="0" applyFont="1" applyBorder="1" applyAlignment="1">
      <alignment horizontal="left" wrapText="1"/>
    </xf>
    <xf numFmtId="0" fontId="5" fillId="0" borderId="157" xfId="0" applyFont="1" applyBorder="1" applyAlignment="1">
      <alignment horizontal="left" wrapText="1"/>
    </xf>
    <xf numFmtId="0" fontId="5" fillId="0" borderId="158" xfId="0" applyFont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88" xfId="0" applyFont="1" applyFill="1" applyBorder="1" applyAlignment="1">
      <alignment wrapText="1"/>
    </xf>
    <xf numFmtId="0" fontId="5" fillId="0" borderId="89" xfId="0" applyFont="1" applyFill="1" applyBorder="1" applyAlignment="1">
      <alignment wrapText="1"/>
    </xf>
    <xf numFmtId="0" fontId="5" fillId="0" borderId="90" xfId="0" applyFont="1" applyFill="1" applyBorder="1" applyAlignment="1">
      <alignment wrapText="1"/>
    </xf>
    <xf numFmtId="0" fontId="12" fillId="0" borderId="132" xfId="0" applyFont="1" applyFill="1" applyBorder="1" applyAlignment="1">
      <alignment wrapText="1"/>
    </xf>
    <xf numFmtId="0" fontId="12" fillId="0" borderId="133" xfId="0" applyFont="1" applyFill="1" applyBorder="1" applyAlignment="1">
      <alignment wrapText="1"/>
    </xf>
    <xf numFmtId="0" fontId="12" fillId="0" borderId="134" xfId="0" applyFont="1" applyFill="1" applyBorder="1" applyAlignment="1">
      <alignment wrapText="1"/>
    </xf>
    <xf numFmtId="0" fontId="14" fillId="0" borderId="14" xfId="0" applyFont="1" applyBorder="1"/>
    <xf numFmtId="0" fontId="3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4" fillId="0" borderId="14" xfId="0" applyFont="1" applyFill="1" applyBorder="1"/>
    <xf numFmtId="0" fontId="5" fillId="0" borderId="14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1" fillId="0" borderId="14" xfId="0" applyFont="1" applyFill="1" applyBorder="1" applyAlignment="1">
      <alignment horizontal="center" wrapText="1"/>
    </xf>
    <xf numFmtId="0" fontId="13" fillId="0" borderId="15" xfId="0" applyFont="1" applyBorder="1"/>
    <xf numFmtId="0" fontId="13" fillId="0" borderId="11" xfId="0" applyFont="1" applyBorder="1"/>
    <xf numFmtId="0" fontId="13" fillId="0" borderId="12" xfId="0" applyFont="1" applyBorder="1"/>
    <xf numFmtId="0" fontId="5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4" fillId="0" borderId="15" xfId="0" applyNumberFormat="1" applyFont="1" applyBorder="1"/>
    <xf numFmtId="1" fontId="14" fillId="0" borderId="11" xfId="0" applyNumberFormat="1" applyFont="1" applyBorder="1"/>
    <xf numFmtId="1" fontId="14" fillId="0" borderId="12" xfId="0" applyNumberFormat="1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0" xfId="0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0" borderId="14" xfId="0" applyFont="1" applyBorder="1"/>
    <xf numFmtId="1" fontId="0" fillId="0" borderId="14" xfId="0" applyNumberFormat="1" applyBorder="1"/>
    <xf numFmtId="1" fontId="1" fillId="0" borderId="14" xfId="0" applyNumberFormat="1" applyFont="1" applyBorder="1" applyAlignment="1">
      <alignment horizontal="center"/>
    </xf>
    <xf numFmtId="171" fontId="0" fillId="0" borderId="14" xfId="1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>
      <alignment horizontal="center" wrapText="1"/>
    </xf>
    <xf numFmtId="164" fontId="12" fillId="0" borderId="14" xfId="0" applyNumberFormat="1" applyFont="1" applyBorder="1" applyAlignment="1" applyProtection="1">
      <alignment horizontal="center" wrapText="1"/>
    </xf>
    <xf numFmtId="0" fontId="0" fillId="0" borderId="149" xfId="0" applyBorder="1"/>
    <xf numFmtId="0" fontId="0" fillId="0" borderId="147" xfId="0" applyBorder="1"/>
    <xf numFmtId="0" fontId="0" fillId="0" borderId="148" xfId="0" applyBorder="1"/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right"/>
    </xf>
    <xf numFmtId="0" fontId="3" fillId="0" borderId="14" xfId="0" applyFont="1" applyBorder="1"/>
    <xf numFmtId="166" fontId="3" fillId="0" borderId="14" xfId="0" applyNumberFormat="1" applyFont="1" applyBorder="1" applyAlignment="1">
      <alignment horizontal="right"/>
    </xf>
    <xf numFmtId="166" fontId="25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25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44" fontId="1" fillId="2" borderId="14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553419538154061"/>
          <c:y val="3.514376996805111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9964990803030941"/>
          <c:y val="0.16932933763687141"/>
          <c:w val="0.73029834779507963"/>
          <c:h val="0.62619905994013003"/>
        </c:manualLayout>
      </c:layout>
      <c:lineChart>
        <c:grouping val="standard"/>
        <c:ser>
          <c:idx val="8"/>
          <c:order val="0"/>
          <c:tx>
            <c:v>Profit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'CL Profit'!$I$5:$I$25</c:f>
              <c:numCache>
                <c:formatCode>0</c:formatCode>
                <c:ptCount val="21"/>
                <c:pt idx="0">
                  <c:v>-1177.82</c:v>
                </c:pt>
                <c:pt idx="1">
                  <c:v>-3871.5300037393317</c:v>
                </c:pt>
                <c:pt idx="2">
                  <c:v>-4709.5991617289656</c:v>
                </c:pt>
                <c:pt idx="3">
                  <c:v>-5941.5931729523836</c:v>
                </c:pt>
                <c:pt idx="4">
                  <c:v>-6783.040896460715</c:v>
                </c:pt>
                <c:pt idx="5">
                  <c:v>-7842.9687366702829</c:v>
                </c:pt>
                <c:pt idx="6">
                  <c:v>-7995.6801454949691</c:v>
                </c:pt>
                <c:pt idx="7">
                  <c:v>-7674.5826867181586</c:v>
                </c:pt>
                <c:pt idx="8">
                  <c:v>-6692.3677631870751</c:v>
                </c:pt>
                <c:pt idx="9">
                  <c:v>-4694.9044702329147</c:v>
                </c:pt>
                <c:pt idx="10">
                  <c:v>-2697.4411772787544</c:v>
                </c:pt>
                <c:pt idx="11">
                  <c:v>-699.97788432459402</c:v>
                </c:pt>
                <c:pt idx="12">
                  <c:v>1297.4854086295663</c:v>
                </c:pt>
                <c:pt idx="13">
                  <c:v>3294.9487015837267</c:v>
                </c:pt>
                <c:pt idx="14">
                  <c:v>5292.411994537887</c:v>
                </c:pt>
                <c:pt idx="15">
                  <c:v>7289.8752874920474</c:v>
                </c:pt>
                <c:pt idx="16">
                  <c:v>9287.3385804462087</c:v>
                </c:pt>
                <c:pt idx="17">
                  <c:v>11284.801873400369</c:v>
                </c:pt>
                <c:pt idx="18">
                  <c:v>13282.265166354529</c:v>
                </c:pt>
                <c:pt idx="19">
                  <c:v>15279.72845930869</c:v>
                </c:pt>
                <c:pt idx="20">
                  <c:v>17277.19175226285</c:v>
                </c:pt>
              </c:numCache>
            </c:numRef>
          </c:val>
        </c:ser>
        <c:marker val="1"/>
        <c:axId val="74358784"/>
        <c:axId val="74361088"/>
      </c:lineChart>
      <c:catAx>
        <c:axId val="74358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940504225962582"/>
              <c:y val="0.9105444726757397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61088"/>
        <c:crosses val="autoZero"/>
        <c:lblAlgn val="ctr"/>
        <c:lblOffset val="100"/>
        <c:tickLblSkip val="2"/>
        <c:tickMarkSkip val="1"/>
      </c:catAx>
      <c:valAx>
        <c:axId val="7436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Thousands of Dollars </a:t>
                </a:r>
              </a:p>
            </c:rich>
          </c:tx>
          <c:layout>
            <c:manualLayout>
              <c:xMode val="edge"/>
              <c:yMode val="edge"/>
              <c:x val="2.276712658624094E-2"/>
              <c:y val="0.34185370598643217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87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Comparisons!$A$154</c:f>
          <c:strCache>
            <c:ptCount val="1"/>
            <c:pt idx="0">
              <c:v>Various Costs Comparisons</c:v>
            </c:pt>
          </c:strCache>
        </c:strRef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Comparisons!$F$156</c:f>
              <c:strCache>
                <c:ptCount val="1"/>
                <c:pt idx="0">
                  <c:v>C. Leader</c:v>
                </c:pt>
              </c:strCache>
            </c:strRef>
          </c:tx>
          <c:cat>
            <c:strRef>
              <c:f>Comparisons!$A$157:$A$172</c:f>
              <c:strCache>
                <c:ptCount val="16"/>
                <c:pt idx="0">
                  <c:v>Training</c:v>
                </c:pt>
                <c:pt idx="1">
                  <c:v>Pruning/ Brush</c:v>
                </c:pt>
                <c:pt idx="2">
                  <c:v>Tree replacement</c:v>
                </c:pt>
                <c:pt idx="3">
                  <c:v>Herbicide Program</c:v>
                </c:pt>
                <c:pt idx="4">
                  <c:v>Spray Program</c:v>
                </c:pt>
                <c:pt idx="5">
                  <c:v>Pheromone</c:v>
                </c:pt>
                <c:pt idx="6">
                  <c:v>Mowing</c:v>
                </c:pt>
                <c:pt idx="7">
                  <c:v>Mouse control</c:v>
                </c:pt>
                <c:pt idx="8">
                  <c:v>Wildlife Control</c:v>
                </c:pt>
                <c:pt idx="9">
                  <c:v>Fertilizer</c:v>
                </c:pt>
                <c:pt idx="10">
                  <c:v>Lime</c:v>
                </c:pt>
                <c:pt idx="11">
                  <c:v>Scouting</c:v>
                </c:pt>
                <c:pt idx="12">
                  <c:v>Bees</c:v>
                </c:pt>
                <c:pt idx="13">
                  <c:v>Trickle Irrigation</c:v>
                </c:pt>
                <c:pt idx="14">
                  <c:v>Real Estate Tax</c:v>
                </c:pt>
                <c:pt idx="15">
                  <c:v>Management</c:v>
                </c:pt>
              </c:strCache>
            </c:strRef>
          </c:cat>
          <c:val>
            <c:numRef>
              <c:f>Comparisons!$F$157:$F$172</c:f>
              <c:numCache>
                <c:formatCode>0.0</c:formatCode>
                <c:ptCount val="16"/>
                <c:pt idx="0">
                  <c:v>1.5386849242198173</c:v>
                </c:pt>
                <c:pt idx="1">
                  <c:v>23.664379030160173</c:v>
                </c:pt>
                <c:pt idx="2">
                  <c:v>1.3745968682767584</c:v>
                </c:pt>
                <c:pt idx="3">
                  <c:v>1.2746374981997541</c:v>
                </c:pt>
                <c:pt idx="4">
                  <c:v>60.955992926878643</c:v>
                </c:pt>
                <c:pt idx="5">
                  <c:v>0.45397863617815221</c:v>
                </c:pt>
                <c:pt idx="6">
                  <c:v>0.97660352605300482</c:v>
                </c:pt>
                <c:pt idx="7">
                  <c:v>0.42157843665682881</c:v>
                </c:pt>
                <c:pt idx="8">
                  <c:v>2.1859239472213652</c:v>
                </c:pt>
                <c:pt idx="9">
                  <c:v>0.97447054706397718</c:v>
                </c:pt>
                <c:pt idx="10">
                  <c:v>1.7654724740261474</c:v>
                </c:pt>
                <c:pt idx="11">
                  <c:v>0.7566310602969204</c:v>
                </c:pt>
                <c:pt idx="12">
                  <c:v>1.261051767161534</c:v>
                </c:pt>
                <c:pt idx="13">
                  <c:v>0</c:v>
                </c:pt>
                <c:pt idx="14">
                  <c:v>1.7654724740261474</c:v>
                </c:pt>
                <c:pt idx="15">
                  <c:v>0.630525883580767</c:v>
                </c:pt>
              </c:numCache>
            </c:numRef>
          </c:val>
        </c:ser>
        <c:ser>
          <c:idx val="1"/>
          <c:order val="1"/>
          <c:tx>
            <c:strRef>
              <c:f>Comparisons!$G$156</c:f>
              <c:strCache>
                <c:ptCount val="1"/>
                <c:pt idx="0">
                  <c:v>V. Axe</c:v>
                </c:pt>
              </c:strCache>
            </c:strRef>
          </c:tx>
          <c:cat>
            <c:strRef>
              <c:f>Comparisons!$A$157:$A$172</c:f>
              <c:strCache>
                <c:ptCount val="16"/>
                <c:pt idx="0">
                  <c:v>Training</c:v>
                </c:pt>
                <c:pt idx="1">
                  <c:v>Pruning/ Brush</c:v>
                </c:pt>
                <c:pt idx="2">
                  <c:v>Tree replacement</c:v>
                </c:pt>
                <c:pt idx="3">
                  <c:v>Herbicide Program</c:v>
                </c:pt>
                <c:pt idx="4">
                  <c:v>Spray Program</c:v>
                </c:pt>
                <c:pt idx="5">
                  <c:v>Pheromone</c:v>
                </c:pt>
                <c:pt idx="6">
                  <c:v>Mowing</c:v>
                </c:pt>
                <c:pt idx="7">
                  <c:v>Mouse control</c:v>
                </c:pt>
                <c:pt idx="8">
                  <c:v>Wildlife Control</c:v>
                </c:pt>
                <c:pt idx="9">
                  <c:v>Fertilizer</c:v>
                </c:pt>
                <c:pt idx="10">
                  <c:v>Lime</c:v>
                </c:pt>
                <c:pt idx="11">
                  <c:v>Scouting</c:v>
                </c:pt>
                <c:pt idx="12">
                  <c:v>Bees</c:v>
                </c:pt>
                <c:pt idx="13">
                  <c:v>Trickle Irrigation</c:v>
                </c:pt>
                <c:pt idx="14">
                  <c:v>Real Estate Tax</c:v>
                </c:pt>
                <c:pt idx="15">
                  <c:v>Management</c:v>
                </c:pt>
              </c:strCache>
            </c:strRef>
          </c:cat>
          <c:val>
            <c:numRef>
              <c:f>Comparisons!$G$157:$G$172</c:f>
              <c:numCache>
                <c:formatCode>0.0</c:formatCode>
                <c:ptCount val="16"/>
                <c:pt idx="0">
                  <c:v>3.6641742313756942</c:v>
                </c:pt>
                <c:pt idx="1">
                  <c:v>22.787009821665912</c:v>
                </c:pt>
                <c:pt idx="2">
                  <c:v>2.9714777480219237</c:v>
                </c:pt>
                <c:pt idx="3">
                  <c:v>2.4301002507908431</c:v>
                </c:pt>
                <c:pt idx="4">
                  <c:v>50.64133307059263</c:v>
                </c:pt>
                <c:pt idx="5">
                  <c:v>0.45483791352727077</c:v>
                </c:pt>
                <c:pt idx="6">
                  <c:v>1.2580097301668427</c:v>
                </c:pt>
                <c:pt idx="7">
                  <c:v>0.422376387865603</c:v>
                </c:pt>
                <c:pt idx="8">
                  <c:v>2.9384261929722753</c:v>
                </c:pt>
                <c:pt idx="9">
                  <c:v>1.0613068148392437</c:v>
                </c:pt>
                <c:pt idx="10">
                  <c:v>1.7688141081616087</c:v>
                </c:pt>
                <c:pt idx="11">
                  <c:v>0.75806318921211802</c:v>
                </c:pt>
                <c:pt idx="12">
                  <c:v>1.7688141081616087</c:v>
                </c:pt>
                <c:pt idx="13">
                  <c:v>4.6747230001413946</c:v>
                </c:pt>
                <c:pt idx="14">
                  <c:v>1.7688141081616087</c:v>
                </c:pt>
                <c:pt idx="15">
                  <c:v>0.6317193243434317</c:v>
                </c:pt>
              </c:numCache>
            </c:numRef>
          </c:val>
        </c:ser>
        <c:ser>
          <c:idx val="2"/>
          <c:order val="2"/>
          <c:tx>
            <c:strRef>
              <c:f>Comparisons!$H$156</c:f>
              <c:strCache>
                <c:ptCount val="1"/>
                <c:pt idx="0">
                  <c:v>T. Spindle</c:v>
                </c:pt>
              </c:strCache>
            </c:strRef>
          </c:tx>
          <c:cat>
            <c:strRef>
              <c:f>Comparisons!$A$157:$A$172</c:f>
              <c:strCache>
                <c:ptCount val="16"/>
                <c:pt idx="0">
                  <c:v>Training</c:v>
                </c:pt>
                <c:pt idx="1">
                  <c:v>Pruning/ Brush</c:v>
                </c:pt>
                <c:pt idx="2">
                  <c:v>Tree replacement</c:v>
                </c:pt>
                <c:pt idx="3">
                  <c:v>Herbicide Program</c:v>
                </c:pt>
                <c:pt idx="4">
                  <c:v>Spray Program</c:v>
                </c:pt>
                <c:pt idx="5">
                  <c:v>Pheromone</c:v>
                </c:pt>
                <c:pt idx="6">
                  <c:v>Mowing</c:v>
                </c:pt>
                <c:pt idx="7">
                  <c:v>Mouse control</c:v>
                </c:pt>
                <c:pt idx="8">
                  <c:v>Wildlife Control</c:v>
                </c:pt>
                <c:pt idx="9">
                  <c:v>Fertilizer</c:v>
                </c:pt>
                <c:pt idx="10">
                  <c:v>Lime</c:v>
                </c:pt>
                <c:pt idx="11">
                  <c:v>Scouting</c:v>
                </c:pt>
                <c:pt idx="12">
                  <c:v>Bees</c:v>
                </c:pt>
                <c:pt idx="13">
                  <c:v>Trickle Irrigation</c:v>
                </c:pt>
                <c:pt idx="14">
                  <c:v>Real Estate Tax</c:v>
                </c:pt>
                <c:pt idx="15">
                  <c:v>Management</c:v>
                </c:pt>
              </c:strCache>
            </c:strRef>
          </c:cat>
          <c:val>
            <c:numRef>
              <c:f>Comparisons!$H$157:$H$172</c:f>
              <c:numCache>
                <c:formatCode>0.0</c:formatCode>
                <c:ptCount val="16"/>
                <c:pt idx="0">
                  <c:v>4.323514026525471</c:v>
                </c:pt>
                <c:pt idx="1">
                  <c:v>23.920962689788329</c:v>
                </c:pt>
                <c:pt idx="2">
                  <c:v>5.5945088170763029</c:v>
                </c:pt>
                <c:pt idx="3">
                  <c:v>3.0049308839440729</c:v>
                </c:pt>
                <c:pt idx="4">
                  <c:v>43.269495396261405</c:v>
                </c:pt>
                <c:pt idx="5">
                  <c:v>0.4894297926988484</c:v>
                </c:pt>
                <c:pt idx="6">
                  <c:v>1.5792996295893404</c:v>
                </c:pt>
                <c:pt idx="7">
                  <c:v>0.45449946410757136</c:v>
                </c:pt>
                <c:pt idx="8">
                  <c:v>3.7823134379766996</c:v>
                </c:pt>
                <c:pt idx="9">
                  <c:v>1.3453010445607416</c:v>
                </c:pt>
                <c:pt idx="10">
                  <c:v>1.9033380827177437</c:v>
                </c:pt>
                <c:pt idx="11">
                  <c:v>0.81571632116474724</c:v>
                </c:pt>
                <c:pt idx="12">
                  <c:v>1.9033380827177437</c:v>
                </c:pt>
                <c:pt idx="13">
                  <c:v>5.0302506471826085</c:v>
                </c:pt>
                <c:pt idx="14">
                  <c:v>1.9033380827177437</c:v>
                </c:pt>
                <c:pt idx="15">
                  <c:v>0.67976360097062272</c:v>
                </c:pt>
              </c:numCache>
            </c:numRef>
          </c:val>
        </c:ser>
        <c:axId val="74708480"/>
        <c:axId val="74710016"/>
      </c:barChart>
      <c:catAx>
        <c:axId val="74708480"/>
        <c:scaling>
          <c:orientation val="minMax"/>
        </c:scaling>
        <c:axPos val="b"/>
        <c:numFmt formatCode="General" sourceLinked="1"/>
        <c:tickLblPos val="nextTo"/>
        <c:crossAx val="74710016"/>
        <c:crosses val="autoZero"/>
        <c:auto val="1"/>
        <c:lblAlgn val="ctr"/>
        <c:lblOffset val="100"/>
      </c:catAx>
      <c:valAx>
        <c:axId val="74710016"/>
        <c:scaling>
          <c:orientation val="minMax"/>
        </c:scaling>
        <c:axPos val="l"/>
        <c:majorGridlines/>
        <c:numFmt formatCode="0" sourceLinked="0"/>
        <c:tickLblPos val="nextTo"/>
        <c:crossAx val="747084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Spray Costs Comparisons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Comparisons!$F$156</c:f>
              <c:strCache>
                <c:ptCount val="1"/>
                <c:pt idx="0">
                  <c:v>C. Leader</c:v>
                </c:pt>
              </c:strCache>
            </c:strRef>
          </c:tx>
          <c:cat>
            <c:strRef>
              <c:f>Comparisons!$A$161</c:f>
              <c:strCache>
                <c:ptCount val="1"/>
                <c:pt idx="0">
                  <c:v>Spray Program</c:v>
                </c:pt>
              </c:strCache>
            </c:strRef>
          </c:cat>
          <c:val>
            <c:numRef>
              <c:f>Comparisons!$F$161</c:f>
              <c:numCache>
                <c:formatCode>0.0</c:formatCode>
                <c:ptCount val="1"/>
                <c:pt idx="0">
                  <c:v>60.955992926878643</c:v>
                </c:pt>
              </c:numCache>
            </c:numRef>
          </c:val>
        </c:ser>
        <c:ser>
          <c:idx val="1"/>
          <c:order val="1"/>
          <c:tx>
            <c:strRef>
              <c:f>Comparisons!$G$156</c:f>
              <c:strCache>
                <c:ptCount val="1"/>
                <c:pt idx="0">
                  <c:v>V. Axe</c:v>
                </c:pt>
              </c:strCache>
            </c:strRef>
          </c:tx>
          <c:cat>
            <c:strRef>
              <c:f>Comparisons!$A$161</c:f>
              <c:strCache>
                <c:ptCount val="1"/>
                <c:pt idx="0">
                  <c:v>Spray Program</c:v>
                </c:pt>
              </c:strCache>
            </c:strRef>
          </c:cat>
          <c:val>
            <c:numRef>
              <c:f>Comparisons!$G$161</c:f>
              <c:numCache>
                <c:formatCode>0.0</c:formatCode>
                <c:ptCount val="1"/>
                <c:pt idx="0">
                  <c:v>50.64133307059263</c:v>
                </c:pt>
              </c:numCache>
            </c:numRef>
          </c:val>
        </c:ser>
        <c:ser>
          <c:idx val="2"/>
          <c:order val="2"/>
          <c:tx>
            <c:strRef>
              <c:f>Comparisons!$H$156</c:f>
              <c:strCache>
                <c:ptCount val="1"/>
                <c:pt idx="0">
                  <c:v>T. Spindle</c:v>
                </c:pt>
              </c:strCache>
            </c:strRef>
          </c:tx>
          <c:cat>
            <c:strRef>
              <c:f>Comparisons!$A$161</c:f>
              <c:strCache>
                <c:ptCount val="1"/>
                <c:pt idx="0">
                  <c:v>Spray Program</c:v>
                </c:pt>
              </c:strCache>
            </c:strRef>
          </c:cat>
          <c:val>
            <c:numRef>
              <c:f>Comparisons!$H$161</c:f>
              <c:numCache>
                <c:formatCode>0.0</c:formatCode>
                <c:ptCount val="1"/>
                <c:pt idx="0">
                  <c:v>43.269495396261405</c:v>
                </c:pt>
              </c:numCache>
            </c:numRef>
          </c:val>
        </c:ser>
        <c:axId val="74733056"/>
        <c:axId val="74734592"/>
      </c:barChart>
      <c:catAx>
        <c:axId val="74733056"/>
        <c:scaling>
          <c:orientation val="minMax"/>
        </c:scaling>
        <c:axPos val="b"/>
        <c:numFmt formatCode="General" sourceLinked="1"/>
        <c:tickLblPos val="nextTo"/>
        <c:crossAx val="74734592"/>
        <c:crosses val="autoZero"/>
        <c:auto val="1"/>
        <c:lblAlgn val="ctr"/>
        <c:lblOffset val="100"/>
      </c:catAx>
      <c:valAx>
        <c:axId val="74734592"/>
        <c:scaling>
          <c:orientation val="minMax"/>
        </c:scaling>
        <c:axPos val="l"/>
        <c:majorGridlines/>
        <c:numFmt formatCode="0" sourceLinked="0"/>
        <c:tickLblPos val="nextTo"/>
        <c:crossAx val="747330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2008 Costs % of Total Costs/Bushel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Comparisons!$A$75</c:f>
              <c:strCache>
                <c:ptCount val="1"/>
                <c:pt idx="0">
                  <c:v>Total Labor</c:v>
                </c:pt>
              </c:strCache>
            </c:strRef>
          </c:tx>
          <c:spPr>
            <a:gradFill flip="none" rotWithShape="1">
              <a:gsLst>
                <a:gs pos="0">
                  <a:prstClr val="white">
                    <a:alpha val="70000"/>
                  </a:prstClr>
                </a:gs>
                <a:gs pos="90000">
                  <a:srgbClr val="003399">
                    <a:alpha val="90000"/>
                  </a:srgbClr>
                </a:gs>
              </a:gsLst>
              <a:lin ang="2700000" scaled="1"/>
              <a:tileRect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strRef>
              <c:f>Comparisons!$B$65:$D$65</c:f>
              <c:strCache>
                <c:ptCount val="3"/>
                <c:pt idx="0">
                  <c:v>C Leader</c:v>
                </c:pt>
                <c:pt idx="1">
                  <c:v>V Axe</c:v>
                </c:pt>
                <c:pt idx="2">
                  <c:v>T Spindle</c:v>
                </c:pt>
              </c:strCache>
            </c:strRef>
          </c:cat>
          <c:val>
            <c:numRef>
              <c:f>Comparisons!$B$75:$D$75</c:f>
              <c:numCache>
                <c:formatCode>0.00</c:formatCode>
                <c:ptCount val="3"/>
                <c:pt idx="0">
                  <c:v>2.2475511387631979</c:v>
                </c:pt>
                <c:pt idx="1">
                  <c:v>2.2021075705666879</c:v>
                </c:pt>
                <c:pt idx="2">
                  <c:v>2.0526867722473607</c:v>
                </c:pt>
              </c:numCache>
            </c:numRef>
          </c:val>
        </c:ser>
        <c:ser>
          <c:idx val="1"/>
          <c:order val="1"/>
          <c:tx>
            <c:strRef>
              <c:f>Comparisons!$A$76</c:f>
              <c:strCache>
                <c:ptCount val="1"/>
                <c:pt idx="0">
                  <c:v>Non-Harvest Labor</c:v>
                </c:pt>
              </c:strCache>
            </c:strRef>
          </c:tx>
          <c:spPr>
            <a:gradFill>
              <a:gsLst>
                <a:gs pos="0">
                  <a:prstClr val="white"/>
                </a:gs>
                <a:gs pos="90000">
                  <a:srgbClr val="FF0000"/>
                </a:gs>
              </a:gsLst>
              <a:lin ang="2700000" scaled="1"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strRef>
              <c:f>Comparisons!$B$65:$D$65</c:f>
              <c:strCache>
                <c:ptCount val="3"/>
                <c:pt idx="0">
                  <c:v>C Leader</c:v>
                </c:pt>
                <c:pt idx="1">
                  <c:v>V Axe</c:v>
                </c:pt>
                <c:pt idx="2">
                  <c:v>T Spindle</c:v>
                </c:pt>
              </c:strCache>
            </c:strRef>
          </c:cat>
          <c:val>
            <c:numRef>
              <c:f>Comparisons!$B$76:$D$76</c:f>
              <c:numCache>
                <c:formatCode>0.00</c:formatCode>
                <c:ptCount val="3"/>
                <c:pt idx="0">
                  <c:v>0.6633981900452488</c:v>
                </c:pt>
                <c:pt idx="1">
                  <c:v>0.6179546218487395</c:v>
                </c:pt>
                <c:pt idx="2">
                  <c:v>0.46853382352941175</c:v>
                </c:pt>
              </c:numCache>
            </c:numRef>
          </c:val>
        </c:ser>
        <c:ser>
          <c:idx val="2"/>
          <c:order val="2"/>
          <c:tx>
            <c:strRef>
              <c:f>Comparisons!$A$77</c:f>
              <c:strCache>
                <c:ptCount val="1"/>
                <c:pt idx="0">
                  <c:v>Machinery</c:v>
                </c:pt>
              </c:strCache>
            </c:strRef>
          </c:tx>
          <c:spPr>
            <a:gradFill>
              <a:gsLst>
                <a:gs pos="0">
                  <a:prstClr val="white"/>
                </a:gs>
                <a:gs pos="90000">
                  <a:srgbClr val="00B050"/>
                </a:gs>
              </a:gsLst>
              <a:lin ang="2700000" scaled="1"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strRef>
              <c:f>Comparisons!$B$65:$D$65</c:f>
              <c:strCache>
                <c:ptCount val="3"/>
                <c:pt idx="0">
                  <c:v>C Leader</c:v>
                </c:pt>
                <c:pt idx="1">
                  <c:v>V Axe</c:v>
                </c:pt>
                <c:pt idx="2">
                  <c:v>T Spindle</c:v>
                </c:pt>
              </c:strCache>
            </c:strRef>
          </c:cat>
          <c:val>
            <c:numRef>
              <c:f>Comparisons!$B$77:$D$77</c:f>
              <c:numCache>
                <c:formatCode>0.00</c:formatCode>
                <c:ptCount val="3"/>
                <c:pt idx="0">
                  <c:v>0.5373166519428284</c:v>
                </c:pt>
                <c:pt idx="1">
                  <c:v>0.59052141520608259</c:v>
                </c:pt>
                <c:pt idx="2">
                  <c:v>0.44500964796918779</c:v>
                </c:pt>
              </c:numCache>
            </c:numRef>
          </c:val>
        </c:ser>
        <c:ser>
          <c:idx val="3"/>
          <c:order val="3"/>
          <c:tx>
            <c:strRef>
              <c:f>Comparisons!$A$78</c:f>
              <c:strCache>
                <c:ptCount val="1"/>
                <c:pt idx="0">
                  <c:v>Pesticides</c:v>
                </c:pt>
              </c:strCache>
            </c:strRef>
          </c:tx>
          <c:spPr>
            <a:gradFill flip="none" rotWithShape="1">
              <a:gsLst>
                <a:gs pos="0">
                  <a:prstClr val="white"/>
                </a:gs>
                <a:gs pos="62000">
                  <a:srgbClr val="7030A0"/>
                </a:gs>
              </a:gsLst>
              <a:lin ang="2700000" scaled="1"/>
              <a:tileRect/>
            </a:gradFill>
            <a:ln w="3175">
              <a:solidFill>
                <a:schemeClr val="tx1"/>
              </a:solidFill>
            </a:ln>
          </c:spPr>
          <c:dLbls>
            <c:showVal val="1"/>
          </c:dLbls>
          <c:cat>
            <c:strRef>
              <c:f>Comparisons!$B$65:$D$65</c:f>
              <c:strCache>
                <c:ptCount val="3"/>
                <c:pt idx="0">
                  <c:v>C Leader</c:v>
                </c:pt>
                <c:pt idx="1">
                  <c:v>V Axe</c:v>
                </c:pt>
                <c:pt idx="2">
                  <c:v>T Spindle</c:v>
                </c:pt>
              </c:strCache>
            </c:strRef>
          </c:cat>
          <c:val>
            <c:numRef>
              <c:f>Comparisons!$B$78:$D$78</c:f>
              <c:numCache>
                <c:formatCode>0.00</c:formatCode>
                <c:ptCount val="3"/>
                <c:pt idx="0">
                  <c:v>1.5875531994047616</c:v>
                </c:pt>
                <c:pt idx="1">
                  <c:v>1.1007035515873014</c:v>
                </c:pt>
                <c:pt idx="2">
                  <c:v>0.61914574776785702</c:v>
                </c:pt>
              </c:numCache>
            </c:numRef>
          </c:val>
        </c:ser>
        <c:axId val="74820224"/>
        <c:axId val="74834304"/>
      </c:barChart>
      <c:catAx>
        <c:axId val="748202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74834304"/>
        <c:crosses val="autoZero"/>
        <c:auto val="1"/>
        <c:lblAlgn val="ctr"/>
        <c:lblOffset val="100"/>
      </c:catAx>
      <c:valAx>
        <c:axId val="74834304"/>
        <c:scaling>
          <c:orientation val="minMax"/>
        </c:scaling>
        <c:axPos val="l"/>
        <c:majorGridlines/>
        <c:numFmt formatCode="0.00" sourceLinked="1"/>
        <c:tickLblPos val="nextTo"/>
        <c:crossAx val="74820224"/>
        <c:crosses val="autoZero"/>
        <c:crossBetween val="between"/>
      </c:valAx>
    </c:plotArea>
    <c:legend>
      <c:legendPos val="b"/>
      <c:layout/>
      <c:spPr>
        <a:noFill/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</a:t>
            </a:r>
            <a:r>
              <a:rPr lang="en-US" baseline="0"/>
              <a:t> 1.  </a:t>
            </a:r>
            <a:r>
              <a:rPr lang="en-US"/>
              <a:t>Cost verse Price</a:t>
            </a:r>
          </a:p>
        </c:rich>
      </c:tx>
      <c:layout>
        <c:manualLayout>
          <c:xMode val="edge"/>
          <c:yMode val="edge"/>
          <c:x val="0.28167066954468528"/>
          <c:y val="3.0864222912083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842190761960381"/>
          <c:y val="0.17283985347514291"/>
          <c:w val="0.73844305267468691"/>
          <c:h val="0.58778652668416453"/>
        </c:manualLayout>
      </c:layout>
      <c:scatterChart>
        <c:scatterStyle val="smoothMarker"/>
        <c:ser>
          <c:idx val="0"/>
          <c:order val="0"/>
          <c:tx>
            <c:strRef>
              <c:f>CostPrice!$C$2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CostPrice!$B$3:$B$43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CostPrice!$C$3:$C$43</c:f>
              <c:numCache>
                <c:formatCode>0.0</c:formatCode>
                <c:ptCount val="41"/>
                <c:pt idx="0">
                  <c:v>3.7</c:v>
                </c:pt>
                <c:pt idx="1">
                  <c:v>3.6</c:v>
                </c:pt>
                <c:pt idx="2">
                  <c:v>4.3</c:v>
                </c:pt>
                <c:pt idx="3">
                  <c:v>9.3000000000000007</c:v>
                </c:pt>
                <c:pt idx="4">
                  <c:v>6.2</c:v>
                </c:pt>
                <c:pt idx="5">
                  <c:v>5.0999999999999996</c:v>
                </c:pt>
                <c:pt idx="6">
                  <c:v>8.8000000000000007</c:v>
                </c:pt>
                <c:pt idx="7">
                  <c:v>7.9</c:v>
                </c:pt>
                <c:pt idx="8">
                  <c:v>7.6</c:v>
                </c:pt>
                <c:pt idx="9">
                  <c:v>7.8</c:v>
                </c:pt>
                <c:pt idx="10">
                  <c:v>6.2</c:v>
                </c:pt>
                <c:pt idx="11">
                  <c:v>9.1</c:v>
                </c:pt>
                <c:pt idx="12">
                  <c:v>6.9</c:v>
                </c:pt>
                <c:pt idx="13">
                  <c:v>7.7</c:v>
                </c:pt>
                <c:pt idx="14">
                  <c:v>8</c:v>
                </c:pt>
                <c:pt idx="15">
                  <c:v>7.5</c:v>
                </c:pt>
                <c:pt idx="16">
                  <c:v>9.3000000000000007</c:v>
                </c:pt>
                <c:pt idx="17">
                  <c:v>7.6</c:v>
                </c:pt>
                <c:pt idx="18">
                  <c:v>8.8000000000000007</c:v>
                </c:pt>
                <c:pt idx="19">
                  <c:v>8.1999999999999993</c:v>
                </c:pt>
                <c:pt idx="20">
                  <c:v>10.3</c:v>
                </c:pt>
                <c:pt idx="21">
                  <c:v>10.9</c:v>
                </c:pt>
                <c:pt idx="22">
                  <c:v>8.5</c:v>
                </c:pt>
                <c:pt idx="23">
                  <c:v>8.5</c:v>
                </c:pt>
                <c:pt idx="24">
                  <c:v>8.6</c:v>
                </c:pt>
                <c:pt idx="25">
                  <c:v>9.9</c:v>
                </c:pt>
                <c:pt idx="26">
                  <c:v>12</c:v>
                </c:pt>
                <c:pt idx="27">
                  <c:v>9.8000000000000007</c:v>
                </c:pt>
                <c:pt idx="28">
                  <c:v>8.6999999999999993</c:v>
                </c:pt>
                <c:pt idx="29">
                  <c:v>8.7999999999999989</c:v>
                </c:pt>
                <c:pt idx="30">
                  <c:v>9.3000000000000007</c:v>
                </c:pt>
                <c:pt idx="31">
                  <c:v>9.4</c:v>
                </c:pt>
                <c:pt idx="32">
                  <c:v>12.4</c:v>
                </c:pt>
                <c:pt idx="33">
                  <c:v>11.700000000000001</c:v>
                </c:pt>
                <c:pt idx="34">
                  <c:v>12.3</c:v>
                </c:pt>
                <c:pt idx="35">
                  <c:v>12.6</c:v>
                </c:pt>
                <c:pt idx="36">
                  <c:v>14.7</c:v>
                </c:pt>
                <c:pt idx="37">
                  <c:v>16.8</c:v>
                </c:pt>
                <c:pt idx="38">
                  <c:v>9.4444444444444446</c:v>
                </c:pt>
                <c:pt idx="39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CostPrice!$D$2</c:f>
              <c:strCache>
                <c:ptCount val="1"/>
                <c:pt idx="0">
                  <c:v>Cost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CostPrice!$B$3:$B$43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CostPrice!$D$3:$D$43</c:f>
              <c:numCache>
                <c:formatCode>0.0</c:formatCode>
                <c:ptCount val="41"/>
                <c:pt idx="0">
                  <c:v>3.9</c:v>
                </c:pt>
                <c:pt idx="1">
                  <c:v>4.0329999999999995</c:v>
                </c:pt>
                <c:pt idx="2">
                  <c:v>4.1659999999999995</c:v>
                </c:pt>
                <c:pt idx="3">
                  <c:v>4.2989999999999995</c:v>
                </c:pt>
                <c:pt idx="4">
                  <c:v>4.4319999999999995</c:v>
                </c:pt>
                <c:pt idx="5">
                  <c:v>4.5649999999999995</c:v>
                </c:pt>
                <c:pt idx="6">
                  <c:v>4.7</c:v>
                </c:pt>
                <c:pt idx="7">
                  <c:v>5.2</c:v>
                </c:pt>
                <c:pt idx="8">
                  <c:v>5.7</c:v>
                </c:pt>
                <c:pt idx="9">
                  <c:v>6.2</c:v>
                </c:pt>
                <c:pt idx="10">
                  <c:v>7.32</c:v>
                </c:pt>
                <c:pt idx="11">
                  <c:v>8.4400000000000013</c:v>
                </c:pt>
                <c:pt idx="12">
                  <c:v>9.5600000000000023</c:v>
                </c:pt>
                <c:pt idx="13">
                  <c:v>10.680000000000003</c:v>
                </c:pt>
                <c:pt idx="14">
                  <c:v>11.8</c:v>
                </c:pt>
                <c:pt idx="15">
                  <c:v>11.940000000000001</c:v>
                </c:pt>
                <c:pt idx="16">
                  <c:v>12.080000000000002</c:v>
                </c:pt>
                <c:pt idx="17">
                  <c:v>12.220000000000002</c:v>
                </c:pt>
                <c:pt idx="18">
                  <c:v>12.360000000000003</c:v>
                </c:pt>
                <c:pt idx="19">
                  <c:v>12.5</c:v>
                </c:pt>
                <c:pt idx="20">
                  <c:v>12.375</c:v>
                </c:pt>
                <c:pt idx="21">
                  <c:v>12.25</c:v>
                </c:pt>
                <c:pt idx="22">
                  <c:v>12.125</c:v>
                </c:pt>
                <c:pt idx="23">
                  <c:v>12</c:v>
                </c:pt>
                <c:pt idx="24">
                  <c:v>11.875</c:v>
                </c:pt>
                <c:pt idx="25">
                  <c:v>11.75</c:v>
                </c:pt>
                <c:pt idx="26">
                  <c:v>11.625</c:v>
                </c:pt>
                <c:pt idx="27">
                  <c:v>11.5</c:v>
                </c:pt>
                <c:pt idx="28">
                  <c:v>11.65</c:v>
                </c:pt>
                <c:pt idx="29">
                  <c:v>11.8</c:v>
                </c:pt>
                <c:pt idx="30">
                  <c:v>11.950000000000001</c:v>
                </c:pt>
                <c:pt idx="31">
                  <c:v>12.100000000000001</c:v>
                </c:pt>
                <c:pt idx="32">
                  <c:v>12.250000000000002</c:v>
                </c:pt>
                <c:pt idx="33">
                  <c:v>12.400000000000002</c:v>
                </c:pt>
                <c:pt idx="34">
                  <c:v>12.550000000000002</c:v>
                </c:pt>
                <c:pt idx="35">
                  <c:v>12.700000000000003</c:v>
                </c:pt>
                <c:pt idx="36">
                  <c:v>12.850000000000003</c:v>
                </c:pt>
                <c:pt idx="37">
                  <c:v>13.000000000000004</c:v>
                </c:pt>
                <c:pt idx="38">
                  <c:v>13</c:v>
                </c:pt>
                <c:pt idx="39">
                  <c:v>13</c:v>
                </c:pt>
              </c:numCache>
            </c:numRef>
          </c:yVal>
        </c:ser>
        <c:axId val="74848896"/>
        <c:axId val="74855168"/>
      </c:scatterChart>
      <c:valAx>
        <c:axId val="74848896"/>
        <c:scaling>
          <c:orientation val="minMax"/>
          <c:min val="1965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566584582332617"/>
              <c:y val="0.909466773572363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55168"/>
        <c:crosses val="autoZero"/>
        <c:crossBetween val="midCat"/>
      </c:valAx>
      <c:valAx>
        <c:axId val="7485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CENTS PER LB.</a:t>
                </a:r>
              </a:p>
            </c:rich>
          </c:tx>
          <c:layout>
            <c:manualLayout>
              <c:xMode val="edge"/>
              <c:yMode val="edge"/>
              <c:x val="4.2650006587014462E-2"/>
              <c:y val="0.255933060586747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48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553419538154061"/>
          <c:y val="3.514376996805111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9964990803030941"/>
          <c:y val="0.16932933763687141"/>
          <c:w val="0.73029834779507963"/>
          <c:h val="0.62619905994013003"/>
        </c:manualLayout>
      </c:layout>
      <c:lineChart>
        <c:grouping val="standard"/>
        <c:ser>
          <c:idx val="8"/>
          <c:order val="0"/>
          <c:tx>
            <c:v>Profit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'VA Profit'!$I$5:$I$25</c:f>
              <c:numCache>
                <c:formatCode>0</c:formatCode>
                <c:ptCount val="21"/>
                <c:pt idx="0">
                  <c:v>-1177.82</c:v>
                </c:pt>
                <c:pt idx="1">
                  <c:v>-10221.411027429769</c:v>
                </c:pt>
                <c:pt idx="2">
                  <c:v>-12174.280629679775</c:v>
                </c:pt>
                <c:pt idx="3">
                  <c:v>-13019.268685991667</c:v>
                </c:pt>
                <c:pt idx="4">
                  <c:v>-13154.270490465304</c:v>
                </c:pt>
                <c:pt idx="5">
                  <c:v>-11237.840408807071</c:v>
                </c:pt>
                <c:pt idx="6">
                  <c:v>-8898.1033586882168</c:v>
                </c:pt>
                <c:pt idx="7">
                  <c:v>-6219.9501854283362</c:v>
                </c:pt>
                <c:pt idx="8">
                  <c:v>-3541.7970121684557</c:v>
                </c:pt>
                <c:pt idx="9">
                  <c:v>-863.64383890857516</c:v>
                </c:pt>
                <c:pt idx="10">
                  <c:v>1814.5093343513054</c:v>
                </c:pt>
                <c:pt idx="11">
                  <c:v>4492.6625076111859</c:v>
                </c:pt>
                <c:pt idx="12">
                  <c:v>7170.8156808710664</c:v>
                </c:pt>
                <c:pt idx="13">
                  <c:v>9848.9688541309479</c:v>
                </c:pt>
                <c:pt idx="14">
                  <c:v>12527.122027390829</c:v>
                </c:pt>
                <c:pt idx="15">
                  <c:v>15205.275200650711</c:v>
                </c:pt>
                <c:pt idx="16">
                  <c:v>17883.428373910592</c:v>
                </c:pt>
                <c:pt idx="17">
                  <c:v>20561.581547170474</c:v>
                </c:pt>
                <c:pt idx="18">
                  <c:v>23239.734720430355</c:v>
                </c:pt>
                <c:pt idx="19">
                  <c:v>25917.887893690237</c:v>
                </c:pt>
                <c:pt idx="20">
                  <c:v>28596.041066950118</c:v>
                </c:pt>
              </c:numCache>
            </c:numRef>
          </c:val>
        </c:ser>
        <c:marker val="1"/>
        <c:axId val="83635200"/>
        <c:axId val="83649664"/>
      </c:lineChart>
      <c:catAx>
        <c:axId val="8363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940504225962582"/>
              <c:y val="0.9105444726757397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9664"/>
        <c:crosses val="autoZero"/>
        <c:lblAlgn val="ctr"/>
        <c:lblOffset val="100"/>
        <c:tickLblSkip val="2"/>
        <c:tickMarkSkip val="1"/>
      </c:catAx>
      <c:valAx>
        <c:axId val="8364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Thousands of Dollars </a:t>
                </a:r>
              </a:p>
            </c:rich>
          </c:tx>
          <c:layout>
            <c:manualLayout>
              <c:xMode val="edge"/>
              <c:yMode val="edge"/>
              <c:x val="2.276712658624094E-2"/>
              <c:y val="0.34185370598643217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35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'VA Profit'!$Q$4</c:f>
              <c:strCache>
                <c:ptCount val="1"/>
                <c:pt idx="0">
                  <c:v>Accum</c:v>
                </c:pt>
              </c:strCache>
            </c:strRef>
          </c:tx>
          <c:marker>
            <c:symbol val="none"/>
          </c:marker>
          <c:cat>
            <c:strRef>
              <c:f>'VA Profit'!$L$5:$L$26</c:f>
              <c:strCache>
                <c:ptCount val="22"/>
                <c:pt idx="0">
                  <c:v>Year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strCache>
            </c:strRef>
          </c:cat>
          <c:val>
            <c:numRef>
              <c:f>'VA Profit'!$Q$5:$Q$26</c:f>
              <c:numCache>
                <c:formatCode>0</c:formatCode>
                <c:ptCount val="22"/>
                <c:pt idx="0" formatCode="General">
                  <c:v>0</c:v>
                </c:pt>
                <c:pt idx="1">
                  <c:v>-794</c:v>
                </c:pt>
                <c:pt idx="2">
                  <c:v>-9224.6709004172517</c:v>
                </c:pt>
                <c:pt idx="3">
                  <c:v>-10771.146242407547</c:v>
                </c:pt>
                <c:pt idx="4">
                  <c:v>-9465.3094038754025</c:v>
                </c:pt>
                <c:pt idx="5">
                  <c:v>-5693.4664955973794</c:v>
                </c:pt>
                <c:pt idx="6">
                  <c:v>3623.455913779545</c:v>
                </c:pt>
                <c:pt idx="7">
                  <c:v>14535.821981856101</c:v>
                </c:pt>
                <c:pt idx="8">
                  <c:v>26368.98040249676</c:v>
                </c:pt>
                <c:pt idx="9">
                  <c:v>38202.138823137422</c:v>
                </c:pt>
                <c:pt idx="10">
                  <c:v>50035.297243778085</c:v>
                </c:pt>
                <c:pt idx="11">
                  <c:v>61868.455664418747</c:v>
                </c:pt>
                <c:pt idx="12">
                  <c:v>73701.614085059409</c:v>
                </c:pt>
                <c:pt idx="13">
                  <c:v>85534.772505700064</c:v>
                </c:pt>
                <c:pt idx="14">
                  <c:v>97367.930926340719</c:v>
                </c:pt>
                <c:pt idx="15">
                  <c:v>109201.08934698137</c:v>
                </c:pt>
                <c:pt idx="16">
                  <c:v>121034.24776762203</c:v>
                </c:pt>
                <c:pt idx="17">
                  <c:v>132867.40618826268</c:v>
                </c:pt>
                <c:pt idx="18">
                  <c:v>144700.56460890334</c:v>
                </c:pt>
                <c:pt idx="19">
                  <c:v>156533.72302954399</c:v>
                </c:pt>
                <c:pt idx="20">
                  <c:v>168366.88145018465</c:v>
                </c:pt>
                <c:pt idx="21">
                  <c:v>180200.03987082531</c:v>
                </c:pt>
              </c:numCache>
            </c:numRef>
          </c:val>
        </c:ser>
        <c:marker val="1"/>
        <c:axId val="87780352"/>
        <c:axId val="87811200"/>
      </c:lineChart>
      <c:catAx>
        <c:axId val="87780352"/>
        <c:scaling>
          <c:orientation val="minMax"/>
        </c:scaling>
        <c:axPos val="b"/>
        <c:tickLblPos val="nextTo"/>
        <c:crossAx val="87811200"/>
        <c:crosses val="autoZero"/>
        <c:auto val="1"/>
        <c:lblAlgn val="ctr"/>
        <c:lblOffset val="100"/>
      </c:catAx>
      <c:valAx>
        <c:axId val="87811200"/>
        <c:scaling>
          <c:orientation val="minMax"/>
        </c:scaling>
        <c:axPos val="l"/>
        <c:majorGridlines/>
        <c:numFmt formatCode="General" sourceLinked="1"/>
        <c:tickLblPos val="nextTo"/>
        <c:crossAx val="877803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553419538154061"/>
          <c:y val="3.514376996805111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9964990803030941"/>
          <c:y val="0.16932933763687141"/>
          <c:w val="0.73029834779507963"/>
          <c:h val="0.62619905994013003"/>
        </c:manualLayout>
      </c:layout>
      <c:lineChart>
        <c:grouping val="standard"/>
        <c:ser>
          <c:idx val="8"/>
          <c:order val="0"/>
          <c:tx>
            <c:v>Profit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'TS Profit'!$I$5:$I$25</c:f>
              <c:numCache>
                <c:formatCode>0</c:formatCode>
                <c:ptCount val="21"/>
                <c:pt idx="0">
                  <c:v>-1177.82</c:v>
                </c:pt>
                <c:pt idx="1">
                  <c:v>-17061.275519093091</c:v>
                </c:pt>
                <c:pt idx="2">
                  <c:v>-17358.940533209709</c:v>
                </c:pt>
                <c:pt idx="3">
                  <c:v>-12914.791676724431</c:v>
                </c:pt>
                <c:pt idx="4">
                  <c:v>1445.3287467320006</c:v>
                </c:pt>
                <c:pt idx="5">
                  <c:v>32419.610401598689</c:v>
                </c:pt>
                <c:pt idx="6">
                  <c:v>63393.892056465382</c:v>
                </c:pt>
                <c:pt idx="7">
                  <c:v>94368.173711332071</c:v>
                </c:pt>
                <c:pt idx="8">
                  <c:v>125342.45536619876</c:v>
                </c:pt>
                <c:pt idx="9">
                  <c:v>156316.73702106543</c:v>
                </c:pt>
                <c:pt idx="10">
                  <c:v>187291.01867593214</c:v>
                </c:pt>
                <c:pt idx="11">
                  <c:v>218265.30033079884</c:v>
                </c:pt>
                <c:pt idx="12">
                  <c:v>249239.58198566554</c:v>
                </c:pt>
                <c:pt idx="13">
                  <c:v>280213.86364053225</c:v>
                </c:pt>
                <c:pt idx="14">
                  <c:v>311188.14529539895</c:v>
                </c:pt>
                <c:pt idx="15">
                  <c:v>342162.42695026565</c:v>
                </c:pt>
                <c:pt idx="16">
                  <c:v>373136.70860513236</c:v>
                </c:pt>
                <c:pt idx="17">
                  <c:v>404110.99025999906</c:v>
                </c:pt>
                <c:pt idx="18">
                  <c:v>435085.27191486576</c:v>
                </c:pt>
                <c:pt idx="19">
                  <c:v>466059.55356973247</c:v>
                </c:pt>
                <c:pt idx="20">
                  <c:v>497033.83522459917</c:v>
                </c:pt>
              </c:numCache>
            </c:numRef>
          </c:val>
        </c:ser>
        <c:marker val="1"/>
        <c:axId val="83702912"/>
        <c:axId val="83704832"/>
      </c:lineChart>
      <c:catAx>
        <c:axId val="8370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940504225962582"/>
              <c:y val="0.9105444726757397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04832"/>
        <c:crosses val="autoZero"/>
        <c:lblAlgn val="ctr"/>
        <c:lblOffset val="100"/>
        <c:tickLblSkip val="2"/>
        <c:tickMarkSkip val="1"/>
      </c:catAx>
      <c:valAx>
        <c:axId val="83704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Thousands of Dollars </a:t>
                </a:r>
              </a:p>
            </c:rich>
          </c:tx>
          <c:layout>
            <c:manualLayout>
              <c:xMode val="edge"/>
              <c:yMode val="edge"/>
              <c:x val="2.276712658624094E-2"/>
              <c:y val="0.34185370598643217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029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Profit of Systems</a:t>
            </a:r>
          </a:p>
        </c:rich>
      </c:tx>
      <c:layout>
        <c:manualLayout>
          <c:xMode val="edge"/>
          <c:yMode val="edge"/>
          <c:x val="0.36463280325253461"/>
          <c:y val="3.31326539294807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88444756890591"/>
          <c:y val="0.16867469879518068"/>
          <c:w val="0.7496099092972256"/>
          <c:h val="0.54819277108433739"/>
        </c:manualLayout>
      </c:layout>
      <c:lineChart>
        <c:grouping val="standard"/>
        <c:ser>
          <c:idx val="8"/>
          <c:order val="0"/>
          <c:tx>
            <c:v>Central Leader</c:v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triangle"/>
            <c:size val="1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'CL Profit'!$I$5:$I$25</c:f>
              <c:numCache>
                <c:formatCode>0</c:formatCode>
                <c:ptCount val="21"/>
                <c:pt idx="0">
                  <c:v>-1177.82</c:v>
                </c:pt>
                <c:pt idx="1">
                  <c:v>-3871.5300037393317</c:v>
                </c:pt>
                <c:pt idx="2">
                  <c:v>-4709.5991617289656</c:v>
                </c:pt>
                <c:pt idx="3">
                  <c:v>-5941.5931729523836</c:v>
                </c:pt>
                <c:pt idx="4">
                  <c:v>-6783.040896460715</c:v>
                </c:pt>
                <c:pt idx="5">
                  <c:v>-7842.9687366702829</c:v>
                </c:pt>
                <c:pt idx="6">
                  <c:v>-7995.6801454949691</c:v>
                </c:pt>
                <c:pt idx="7">
                  <c:v>-7674.5826867181586</c:v>
                </c:pt>
                <c:pt idx="8">
                  <c:v>-6692.3677631870751</c:v>
                </c:pt>
                <c:pt idx="9">
                  <c:v>-4694.9044702329147</c:v>
                </c:pt>
                <c:pt idx="10">
                  <c:v>-2697.4411772787544</c:v>
                </c:pt>
                <c:pt idx="11">
                  <c:v>-699.97788432459402</c:v>
                </c:pt>
                <c:pt idx="12">
                  <c:v>1297.4854086295663</c:v>
                </c:pt>
                <c:pt idx="13">
                  <c:v>3294.9487015837267</c:v>
                </c:pt>
                <c:pt idx="14">
                  <c:v>5292.411994537887</c:v>
                </c:pt>
                <c:pt idx="15">
                  <c:v>7289.8752874920474</c:v>
                </c:pt>
                <c:pt idx="16">
                  <c:v>9287.3385804462087</c:v>
                </c:pt>
                <c:pt idx="17">
                  <c:v>11284.801873400369</c:v>
                </c:pt>
                <c:pt idx="18">
                  <c:v>13282.265166354529</c:v>
                </c:pt>
                <c:pt idx="19">
                  <c:v>15279.72845930869</c:v>
                </c:pt>
                <c:pt idx="20">
                  <c:v>17277.19175226285</c:v>
                </c:pt>
              </c:numCache>
            </c:numRef>
          </c:val>
        </c:ser>
        <c:ser>
          <c:idx val="0"/>
          <c:order val="1"/>
          <c:tx>
            <c:v>Vertical Axe</c:v>
          </c:tx>
          <c:spPr>
            <a:ln w="635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diamond"/>
            <c:size val="15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val>
            <c:numRef>
              <c:f>'VA Profit'!$I$5:$I$25</c:f>
              <c:numCache>
                <c:formatCode>0</c:formatCode>
                <c:ptCount val="21"/>
                <c:pt idx="0">
                  <c:v>-1177.82</c:v>
                </c:pt>
                <c:pt idx="1">
                  <c:v>-10221.411027429769</c:v>
                </c:pt>
                <c:pt idx="2">
                  <c:v>-12174.280629679775</c:v>
                </c:pt>
                <c:pt idx="3">
                  <c:v>-13019.268685991667</c:v>
                </c:pt>
                <c:pt idx="4">
                  <c:v>-13154.270490465304</c:v>
                </c:pt>
                <c:pt idx="5">
                  <c:v>-11237.840408807071</c:v>
                </c:pt>
                <c:pt idx="6">
                  <c:v>-8898.1033586882168</c:v>
                </c:pt>
                <c:pt idx="7">
                  <c:v>-6219.9501854283362</c:v>
                </c:pt>
                <c:pt idx="8">
                  <c:v>-3541.7970121684557</c:v>
                </c:pt>
                <c:pt idx="9">
                  <c:v>-863.64383890857516</c:v>
                </c:pt>
                <c:pt idx="10">
                  <c:v>1814.5093343513054</c:v>
                </c:pt>
                <c:pt idx="11">
                  <c:v>4492.6625076111859</c:v>
                </c:pt>
                <c:pt idx="12">
                  <c:v>7170.8156808710664</c:v>
                </c:pt>
                <c:pt idx="13">
                  <c:v>9848.9688541309479</c:v>
                </c:pt>
                <c:pt idx="14">
                  <c:v>12527.122027390829</c:v>
                </c:pt>
                <c:pt idx="15">
                  <c:v>15205.275200650711</c:v>
                </c:pt>
                <c:pt idx="16">
                  <c:v>17883.428373910592</c:v>
                </c:pt>
                <c:pt idx="17">
                  <c:v>20561.581547170474</c:v>
                </c:pt>
                <c:pt idx="18">
                  <c:v>23239.734720430355</c:v>
                </c:pt>
                <c:pt idx="19">
                  <c:v>25917.887893690237</c:v>
                </c:pt>
                <c:pt idx="20">
                  <c:v>28596.041066950118</c:v>
                </c:pt>
              </c:numCache>
            </c:numRef>
          </c:val>
        </c:ser>
        <c:ser>
          <c:idx val="1"/>
          <c:order val="2"/>
          <c:tx>
            <c:v>Tall Spindle</c:v>
          </c:tx>
          <c:spPr>
            <a:ln w="63500">
              <a:solidFill>
                <a:srgbClr val="FF00FF"/>
              </a:solidFill>
              <a:prstDash val="solid"/>
            </a:ln>
          </c:spPr>
          <c:marker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'TS Profit'!$I$5:$I$25</c:f>
              <c:numCache>
                <c:formatCode>0</c:formatCode>
                <c:ptCount val="21"/>
                <c:pt idx="0">
                  <c:v>-1177.82</c:v>
                </c:pt>
                <c:pt idx="1">
                  <c:v>-17061.275519093091</c:v>
                </c:pt>
                <c:pt idx="2">
                  <c:v>-17358.940533209709</c:v>
                </c:pt>
                <c:pt idx="3">
                  <c:v>-12914.791676724431</c:v>
                </c:pt>
                <c:pt idx="4">
                  <c:v>1445.3287467320006</c:v>
                </c:pt>
                <c:pt idx="5">
                  <c:v>32419.610401598689</c:v>
                </c:pt>
                <c:pt idx="6">
                  <c:v>63393.892056465382</c:v>
                </c:pt>
                <c:pt idx="7">
                  <c:v>94368.173711332071</c:v>
                </c:pt>
                <c:pt idx="8">
                  <c:v>125342.45536619876</c:v>
                </c:pt>
                <c:pt idx="9">
                  <c:v>156316.73702106543</c:v>
                </c:pt>
                <c:pt idx="10">
                  <c:v>187291.01867593214</c:v>
                </c:pt>
                <c:pt idx="11">
                  <c:v>218265.30033079884</c:v>
                </c:pt>
                <c:pt idx="12">
                  <c:v>249239.58198566554</c:v>
                </c:pt>
                <c:pt idx="13">
                  <c:v>280213.86364053225</c:v>
                </c:pt>
                <c:pt idx="14">
                  <c:v>311188.14529539895</c:v>
                </c:pt>
                <c:pt idx="15">
                  <c:v>342162.42695026565</c:v>
                </c:pt>
                <c:pt idx="16">
                  <c:v>373136.70860513236</c:v>
                </c:pt>
                <c:pt idx="17">
                  <c:v>404110.99025999906</c:v>
                </c:pt>
                <c:pt idx="18">
                  <c:v>435085.27191486576</c:v>
                </c:pt>
                <c:pt idx="19">
                  <c:v>466059.55356973247</c:v>
                </c:pt>
                <c:pt idx="20">
                  <c:v>497033.83522459917</c:v>
                </c:pt>
              </c:numCache>
            </c:numRef>
          </c:val>
        </c:ser>
        <c:marker val="1"/>
        <c:axId val="74889856"/>
        <c:axId val="74892416"/>
      </c:lineChart>
      <c:catAx>
        <c:axId val="7488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9977012677337"/>
              <c:y val="0.8132529568467282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92416"/>
        <c:crosses val="autoZero"/>
        <c:lblAlgn val="ctr"/>
        <c:lblOffset val="100"/>
        <c:tickLblSkip val="1"/>
        <c:tickMarkSkip val="1"/>
      </c:catAx>
      <c:valAx>
        <c:axId val="74892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Thousands of Dollars </a:t>
                </a:r>
              </a:p>
            </c:rich>
          </c:tx>
          <c:layout>
            <c:manualLayout>
              <c:xMode val="edge"/>
              <c:yMode val="edge"/>
              <c:x val="2.034429519839432E-2"/>
              <c:y val="0.3102409331003200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898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718370987940235E-2"/>
          <c:y val="0.88554205038584632"/>
          <c:w val="0.93731116943715365"/>
          <c:h val="9.6385545323044108E-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Comparisons!$D$1</c:f>
          <c:strCache>
            <c:ptCount val="1"/>
            <c:pt idx="0">
              <c:v>2008 % of Total Material Costs</c:v>
            </c:pt>
          </c:strCache>
        </c:strRef>
      </c:tx>
      <c:layout/>
    </c:title>
    <c:plotArea>
      <c:layout/>
      <c:pieChart>
        <c:varyColors val="1"/>
        <c:ser>
          <c:idx val="0"/>
          <c:order val="0"/>
          <c:tx>
            <c:strRef>
              <c:f>Comparisons!$D$4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numFmt formatCode="#,##0.0" sourceLinked="0"/>
            <c:showVal val="1"/>
            <c:showLeaderLines val="1"/>
          </c:dLbls>
          <c:cat>
            <c:strRef>
              <c:f>Comparisons!$A$5:$A$9</c:f>
              <c:strCache>
                <c:ptCount val="5"/>
                <c:pt idx="0">
                  <c:v>Fungicides</c:v>
                </c:pt>
                <c:pt idx="1">
                  <c:v>Insecticides</c:v>
                </c:pt>
                <c:pt idx="2">
                  <c:v>PGR's</c:v>
                </c:pt>
                <c:pt idx="3">
                  <c:v>Herbicides</c:v>
                </c:pt>
                <c:pt idx="4">
                  <c:v>Fertilizers</c:v>
                </c:pt>
              </c:strCache>
            </c:strRef>
          </c:cat>
          <c:val>
            <c:numRef>
              <c:f>Comparisons!$D$5:$D$9</c:f>
              <c:numCache>
                <c:formatCode>0.00</c:formatCode>
                <c:ptCount val="5"/>
                <c:pt idx="0">
                  <c:v>45.296104715420213</c:v>
                </c:pt>
                <c:pt idx="1">
                  <c:v>41.204533918322333</c:v>
                </c:pt>
                <c:pt idx="2">
                  <c:v>8.7046628672328801</c:v>
                </c:pt>
                <c:pt idx="3">
                  <c:v>2.8735030385237557</c:v>
                </c:pt>
                <c:pt idx="4">
                  <c:v>1.9211954605008317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Apple Costs % of Total Costs/Acre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Comparisons!$A$66</c:f>
              <c:strCache>
                <c:ptCount val="1"/>
                <c:pt idx="0">
                  <c:v>Total Labor</c:v>
                </c:pt>
              </c:strCache>
            </c:strRef>
          </c:tx>
          <c:spPr>
            <a:gradFill flip="none" rotWithShape="1">
              <a:gsLst>
                <a:gs pos="0">
                  <a:prstClr val="white">
                    <a:alpha val="70000"/>
                  </a:prstClr>
                </a:gs>
                <a:gs pos="90000">
                  <a:srgbClr val="003399">
                    <a:alpha val="90000"/>
                  </a:srgbClr>
                </a:gs>
              </a:gsLst>
              <a:lin ang="2700000" scaled="1"/>
              <a:tileRect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Comparisons!$E$66:$F$66</c:f>
              <c:numCache>
                <c:formatCode>0</c:formatCode>
                <c:ptCount val="2"/>
                <c:pt idx="0">
                  <c:v>53.424657534246577</c:v>
                </c:pt>
                <c:pt idx="1">
                  <c:v>45.600511477497747</c:v>
                </c:pt>
              </c:numCache>
            </c:numRef>
          </c:val>
        </c:ser>
        <c:ser>
          <c:idx val="1"/>
          <c:order val="1"/>
          <c:tx>
            <c:strRef>
              <c:f>Comparisons!$A$67</c:f>
              <c:strCache>
                <c:ptCount val="1"/>
                <c:pt idx="0">
                  <c:v>Non-Harvest Labor</c:v>
                </c:pt>
              </c:strCache>
            </c:strRef>
          </c:tx>
          <c:spPr>
            <a:gradFill>
              <a:gsLst>
                <a:gs pos="0">
                  <a:prstClr val="white"/>
                </a:gs>
                <a:gs pos="90000">
                  <a:srgbClr val="FF0000"/>
                </a:gs>
              </a:gsLst>
              <a:lin ang="2700000" scaled="1"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Comparisons!$E$67:$F$67</c:f>
              <c:numCache>
                <c:formatCode>0</c:formatCode>
                <c:ptCount val="2"/>
                <c:pt idx="0">
                  <c:v>14.401123990165084</c:v>
                </c:pt>
                <c:pt idx="1">
                  <c:v>12.796398869349812</c:v>
                </c:pt>
              </c:numCache>
            </c:numRef>
          </c:val>
        </c:ser>
        <c:ser>
          <c:idx val="2"/>
          <c:order val="2"/>
          <c:tx>
            <c:strRef>
              <c:f>Comparisons!$A$68</c:f>
              <c:strCache>
                <c:ptCount val="1"/>
                <c:pt idx="0">
                  <c:v>Machinery</c:v>
                </c:pt>
              </c:strCache>
            </c:strRef>
          </c:tx>
          <c:spPr>
            <a:gradFill>
              <a:gsLst>
                <a:gs pos="0">
                  <a:prstClr val="white"/>
                </a:gs>
                <a:gs pos="90000">
                  <a:srgbClr val="00B050"/>
                </a:gs>
              </a:gsLst>
              <a:lin ang="2700000" scaled="1"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Comparisons!$E$68:$F$68</c:f>
              <c:numCache>
                <c:formatCode>0</c:formatCode>
                <c:ptCount val="2"/>
                <c:pt idx="0">
                  <c:v>11.731647348085703</c:v>
                </c:pt>
                <c:pt idx="1">
                  <c:v>12.228321146402278</c:v>
                </c:pt>
              </c:numCache>
            </c:numRef>
          </c:val>
        </c:ser>
        <c:ser>
          <c:idx val="3"/>
          <c:order val="3"/>
          <c:tx>
            <c:strRef>
              <c:f>Comparisons!$A$69</c:f>
              <c:strCache>
                <c:ptCount val="1"/>
                <c:pt idx="0">
                  <c:v>Pesticides</c:v>
                </c:pt>
              </c:strCache>
            </c:strRef>
          </c:tx>
          <c:spPr>
            <a:gradFill flip="none" rotWithShape="1">
              <a:gsLst>
                <a:gs pos="0">
                  <a:prstClr val="white"/>
                </a:gs>
                <a:gs pos="62000">
                  <a:srgbClr val="7030A0"/>
                </a:gs>
              </a:gsLst>
              <a:lin ang="2700000" scaled="1"/>
              <a:tileRect/>
            </a:gradFill>
            <a:ln w="3175">
              <a:solidFill>
                <a:schemeClr val="tx1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Comparisons!$E$69:$F$69</c:f>
              <c:numCache>
                <c:formatCode>0</c:formatCode>
                <c:ptCount val="2"/>
                <c:pt idx="0">
                  <c:v>16.649104320337198</c:v>
                </c:pt>
                <c:pt idx="1">
                  <c:v>22.793003215806912</c:v>
                </c:pt>
              </c:numCache>
            </c:numRef>
          </c:val>
        </c:ser>
        <c:axId val="74554752"/>
        <c:axId val="74568832"/>
      </c:barChart>
      <c:catAx>
        <c:axId val="74554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74568832"/>
        <c:crosses val="autoZero"/>
        <c:auto val="1"/>
        <c:lblAlgn val="ctr"/>
        <c:lblOffset val="100"/>
      </c:catAx>
      <c:valAx>
        <c:axId val="74568832"/>
        <c:scaling>
          <c:orientation val="minMax"/>
        </c:scaling>
        <c:axPos val="l"/>
        <c:majorGridlines/>
        <c:numFmt formatCode="0" sourceLinked="1"/>
        <c:tickLblPos val="nextTo"/>
        <c:crossAx val="74554752"/>
        <c:crosses val="autoZero"/>
        <c:crossBetween val="between"/>
      </c:valAx>
    </c:plotArea>
    <c:legend>
      <c:legendPos val="b"/>
      <c:layout/>
      <c:spPr>
        <a:noFill/>
      </c:sp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/>
              <a:t>Apple Costs $/Bushel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Comparisons!$A$75</c:f>
              <c:strCache>
                <c:ptCount val="1"/>
                <c:pt idx="0">
                  <c:v>Total Labor</c:v>
                </c:pt>
              </c:strCache>
            </c:strRef>
          </c:tx>
          <c:spPr>
            <a:gradFill flip="none" rotWithShape="1">
              <a:gsLst>
                <a:gs pos="0">
                  <a:prstClr val="white">
                    <a:alpha val="70000"/>
                  </a:prstClr>
                </a:gs>
                <a:gs pos="90000">
                  <a:srgbClr val="003399">
                    <a:alpha val="90000"/>
                  </a:srgbClr>
                </a:gs>
              </a:gsLst>
              <a:lin ang="2700000" scaled="1"/>
              <a:tileRect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Comparisons!$E$75:$F$75</c:f>
              <c:numCache>
                <c:formatCode>0.00</c:formatCode>
                <c:ptCount val="2"/>
                <c:pt idx="0">
                  <c:v>2.028</c:v>
                </c:pt>
                <c:pt idx="1">
                  <c:v>2.2021075705666879</c:v>
                </c:pt>
              </c:numCache>
            </c:numRef>
          </c:val>
        </c:ser>
        <c:ser>
          <c:idx val="1"/>
          <c:order val="1"/>
          <c:tx>
            <c:strRef>
              <c:f>Comparisons!$A$76</c:f>
              <c:strCache>
                <c:ptCount val="1"/>
                <c:pt idx="0">
                  <c:v>Non-Harvest Labor</c:v>
                </c:pt>
              </c:strCache>
            </c:strRef>
          </c:tx>
          <c:spPr>
            <a:gradFill>
              <a:gsLst>
                <a:gs pos="0">
                  <a:prstClr val="white"/>
                </a:gs>
                <a:gs pos="90000">
                  <a:srgbClr val="FF0000"/>
                </a:gs>
              </a:gsLst>
              <a:lin ang="2700000" scaled="1"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Comparisons!$E$76:$F$76</c:f>
              <c:numCache>
                <c:formatCode>0.00</c:formatCode>
                <c:ptCount val="2"/>
                <c:pt idx="0">
                  <c:v>0.54666666666666663</c:v>
                </c:pt>
                <c:pt idx="1">
                  <c:v>0.6179546218487395</c:v>
                </c:pt>
              </c:numCache>
            </c:numRef>
          </c:val>
        </c:ser>
        <c:ser>
          <c:idx val="2"/>
          <c:order val="2"/>
          <c:tx>
            <c:strRef>
              <c:f>Comparisons!$A$77</c:f>
              <c:strCache>
                <c:ptCount val="1"/>
                <c:pt idx="0">
                  <c:v>Machinery</c:v>
                </c:pt>
              </c:strCache>
            </c:strRef>
          </c:tx>
          <c:spPr>
            <a:gradFill>
              <a:gsLst>
                <a:gs pos="0">
                  <a:prstClr val="white"/>
                </a:gs>
                <a:gs pos="90000">
                  <a:srgbClr val="00B050"/>
                </a:gs>
              </a:gsLst>
              <a:lin ang="2700000" scaled="1"/>
            </a:gradFill>
            <a:ln w="3175">
              <a:solidFill>
                <a:srgbClr val="000000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Comparisons!$E$77:$F$77</c:f>
              <c:numCache>
                <c:formatCode>0.00</c:formatCode>
                <c:ptCount val="2"/>
                <c:pt idx="0">
                  <c:v>0.44533333333333336</c:v>
                </c:pt>
                <c:pt idx="1">
                  <c:v>0.59052141520608259</c:v>
                </c:pt>
              </c:numCache>
            </c:numRef>
          </c:val>
        </c:ser>
        <c:ser>
          <c:idx val="3"/>
          <c:order val="3"/>
          <c:tx>
            <c:strRef>
              <c:f>Comparisons!$A$78</c:f>
              <c:strCache>
                <c:ptCount val="1"/>
                <c:pt idx="0">
                  <c:v>Pesticides</c:v>
                </c:pt>
              </c:strCache>
            </c:strRef>
          </c:tx>
          <c:spPr>
            <a:gradFill flip="none" rotWithShape="1">
              <a:gsLst>
                <a:gs pos="0">
                  <a:prstClr val="white"/>
                </a:gs>
                <a:gs pos="62000">
                  <a:srgbClr val="7030A0"/>
                </a:gs>
              </a:gsLst>
              <a:lin ang="2700000" scaled="1"/>
              <a:tileRect/>
            </a:gradFill>
            <a:ln w="3175">
              <a:solidFill>
                <a:schemeClr val="tx1"/>
              </a:solidFill>
            </a:ln>
          </c:spPr>
          <c:dLbls>
            <c:showVal val="1"/>
          </c:dLbls>
          <c:cat>
            <c:numRef>
              <c:f>Comparisons!$E$65:$F$65</c:f>
              <c:numCache>
                <c:formatCode>General</c:formatCode>
                <c:ptCount val="2"/>
                <c:pt idx="0">
                  <c:v>1998</c:v>
                </c:pt>
                <c:pt idx="1">
                  <c:v>2008</c:v>
                </c:pt>
              </c:numCache>
            </c:numRef>
          </c:cat>
          <c:val>
            <c:numRef>
              <c:f>Comparisons!$E$78:$F$78</c:f>
              <c:numCache>
                <c:formatCode>0.00</c:formatCode>
                <c:ptCount val="2"/>
                <c:pt idx="0">
                  <c:v>0.63200000000000001</c:v>
                </c:pt>
                <c:pt idx="1">
                  <c:v>1.1007035515873014</c:v>
                </c:pt>
              </c:numCache>
            </c:numRef>
          </c:val>
        </c:ser>
        <c:axId val="74629888"/>
        <c:axId val="74631424"/>
      </c:barChart>
      <c:catAx>
        <c:axId val="74629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74631424"/>
        <c:crosses val="autoZero"/>
        <c:auto val="1"/>
        <c:lblAlgn val="ctr"/>
        <c:lblOffset val="100"/>
      </c:catAx>
      <c:valAx>
        <c:axId val="74631424"/>
        <c:scaling>
          <c:orientation val="minMax"/>
        </c:scaling>
        <c:axPos val="l"/>
        <c:majorGridlines/>
        <c:numFmt formatCode="0.00" sourceLinked="1"/>
        <c:tickLblPos val="nextTo"/>
        <c:crossAx val="74629888"/>
        <c:crosses val="autoZero"/>
        <c:crossBetween val="between"/>
      </c:valAx>
    </c:plotArea>
    <c:legend>
      <c:legendPos val="b"/>
      <c:layout/>
      <c:spPr>
        <a:noFill/>
      </c:sp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Comparisons!$D$2</c:f>
          <c:strCache>
            <c:ptCount val="1"/>
            <c:pt idx="0">
              <c:v>1998 % of Total Material Costs</c:v>
            </c:pt>
          </c:strCache>
        </c:strRef>
      </c:tx>
      <c:layout/>
    </c:title>
    <c:plotArea>
      <c:layout/>
      <c:pieChart>
        <c:varyColors val="1"/>
        <c:ser>
          <c:idx val="0"/>
          <c:order val="0"/>
          <c:tx>
            <c:strRef>
              <c:f>Comparisons!$D$4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Pos val="bestFit"/>
            <c:showVal val="1"/>
            <c:showLeaderLines val="1"/>
          </c:dLbls>
          <c:cat>
            <c:strRef>
              <c:f>Comparisons!$A$5:$A$9</c:f>
              <c:strCache>
                <c:ptCount val="5"/>
                <c:pt idx="0">
                  <c:v>Fungicides</c:v>
                </c:pt>
                <c:pt idx="1">
                  <c:v>Insecticides</c:v>
                </c:pt>
                <c:pt idx="2">
                  <c:v>PGR's</c:v>
                </c:pt>
                <c:pt idx="3">
                  <c:v>Herbicides</c:v>
                </c:pt>
                <c:pt idx="4">
                  <c:v>Fertilizers</c:v>
                </c:pt>
              </c:strCache>
            </c:strRef>
          </c:cat>
          <c:val>
            <c:numRef>
              <c:f>Comparisons!$D$5:$D$9</c:f>
              <c:numCache>
                <c:formatCode>0.00</c:formatCode>
                <c:ptCount val="5"/>
                <c:pt idx="0">
                  <c:v>45.296104715420213</c:v>
                </c:pt>
                <c:pt idx="1">
                  <c:v>41.204533918322333</c:v>
                </c:pt>
                <c:pt idx="2">
                  <c:v>8.7046628672328801</c:v>
                </c:pt>
                <c:pt idx="3">
                  <c:v>2.8735030385237557</c:v>
                </c:pt>
                <c:pt idx="4">
                  <c:v>1.9211954605008317</c:v>
                </c:pt>
              </c:numCache>
            </c:numRef>
          </c:val>
        </c:ser>
        <c:ser>
          <c:idx val="1"/>
          <c:order val="1"/>
          <c:tx>
            <c:strRef>
              <c:f>Comparisons!$E$4</c:f>
              <c:strCache>
                <c:ptCount val="1"/>
                <c:pt idx="0">
                  <c:v>1998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numFmt formatCode="#,##0.0" sourceLinked="0"/>
            <c:dLblPos val="bestFit"/>
            <c:showVal val="1"/>
            <c:showLeaderLines val="1"/>
          </c:dLbls>
          <c:cat>
            <c:strRef>
              <c:f>Comparisons!$A$5:$A$9</c:f>
              <c:strCache>
                <c:ptCount val="5"/>
                <c:pt idx="0">
                  <c:v>Fungicides</c:v>
                </c:pt>
                <c:pt idx="1">
                  <c:v>Insecticides</c:v>
                </c:pt>
                <c:pt idx="2">
                  <c:v>PGR's</c:v>
                </c:pt>
                <c:pt idx="3">
                  <c:v>Herbicides</c:v>
                </c:pt>
                <c:pt idx="4">
                  <c:v>Fertilizers</c:v>
                </c:pt>
              </c:strCache>
            </c:strRef>
          </c:cat>
          <c:val>
            <c:numRef>
              <c:f>Comparisons!$E$5:$E$9</c:f>
              <c:numCache>
                <c:formatCode>0.00</c:formatCode>
                <c:ptCount val="5"/>
                <c:pt idx="0">
                  <c:v>43.687953770929035</c:v>
                </c:pt>
                <c:pt idx="1">
                  <c:v>38.379759964439174</c:v>
                </c:pt>
                <c:pt idx="2">
                  <c:v>6.8899096162394429</c:v>
                </c:pt>
                <c:pt idx="3">
                  <c:v>6.3898355311898065</c:v>
                </c:pt>
                <c:pt idx="4">
                  <c:v>4.6525411172025484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95250</xdr:rowOff>
    </xdr:from>
    <xdr:to>
      <xdr:col>8</xdr:col>
      <xdr:colOff>590550</xdr:colOff>
      <xdr:row>48</xdr:row>
      <xdr:rowOff>0</xdr:rowOff>
    </xdr:to>
    <xdr:graphicFrame macro="">
      <xdr:nvGraphicFramePr>
        <xdr:cNvPr id="5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95250</xdr:rowOff>
    </xdr:from>
    <xdr:to>
      <xdr:col>8</xdr:col>
      <xdr:colOff>590550</xdr:colOff>
      <xdr:row>48</xdr:row>
      <xdr:rowOff>0</xdr:rowOff>
    </xdr:to>
    <xdr:graphicFrame macro="">
      <xdr:nvGraphicFramePr>
        <xdr:cNvPr id="7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26</xdr:row>
      <xdr:rowOff>133350</xdr:rowOff>
    </xdr:from>
    <xdr:to>
      <xdr:col>17</xdr:col>
      <xdr:colOff>19050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95250</xdr:rowOff>
    </xdr:from>
    <xdr:to>
      <xdr:col>8</xdr:col>
      <xdr:colOff>590550</xdr:colOff>
      <xdr:row>48</xdr:row>
      <xdr:rowOff>0</xdr:rowOff>
    </xdr:to>
    <xdr:graphicFrame macro="">
      <xdr:nvGraphicFramePr>
        <xdr:cNvPr id="9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28575</xdr:rowOff>
    </xdr:from>
    <xdr:to>
      <xdr:col>10</xdr:col>
      <xdr:colOff>0</xdr:colOff>
      <xdr:row>51</xdr:row>
      <xdr:rowOff>123825</xdr:rowOff>
    </xdr:to>
    <xdr:graphicFrame macro="">
      <xdr:nvGraphicFramePr>
        <xdr:cNvPr id="18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7</xdr:col>
      <xdr:colOff>304800</xdr:colOff>
      <xdr:row>35</xdr:row>
      <xdr:rowOff>9525</xdr:rowOff>
    </xdr:to>
    <xdr:graphicFrame macro="">
      <xdr:nvGraphicFramePr>
        <xdr:cNvPr id="2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8</xdr:col>
      <xdr:colOff>428625</xdr:colOff>
      <xdr:row>101</xdr:row>
      <xdr:rowOff>28575</xdr:rowOff>
    </xdr:to>
    <xdr:graphicFrame macro="">
      <xdr:nvGraphicFramePr>
        <xdr:cNvPr id="21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152400</xdr:rowOff>
    </xdr:from>
    <xdr:to>
      <xdr:col>8</xdr:col>
      <xdr:colOff>428625</xdr:colOff>
      <xdr:row>127</xdr:row>
      <xdr:rowOff>104775</xdr:rowOff>
    </xdr:to>
    <xdr:graphicFrame macro="">
      <xdr:nvGraphicFramePr>
        <xdr:cNvPr id="21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142875</xdr:rowOff>
    </xdr:from>
    <xdr:to>
      <xdr:col>7</xdr:col>
      <xdr:colOff>304800</xdr:colOff>
      <xdr:row>53</xdr:row>
      <xdr:rowOff>133350</xdr:rowOff>
    </xdr:to>
    <xdr:graphicFrame macro="">
      <xdr:nvGraphicFramePr>
        <xdr:cNvPr id="21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174</xdr:row>
      <xdr:rowOff>66675</xdr:rowOff>
    </xdr:from>
    <xdr:to>
      <xdr:col>7</xdr:col>
      <xdr:colOff>171450</xdr:colOff>
      <xdr:row>190</xdr:row>
      <xdr:rowOff>47625</xdr:rowOff>
    </xdr:to>
    <xdr:graphicFrame macro="">
      <xdr:nvGraphicFramePr>
        <xdr:cNvPr id="21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190</xdr:row>
      <xdr:rowOff>95250</xdr:rowOff>
    </xdr:from>
    <xdr:to>
      <xdr:col>7</xdr:col>
      <xdr:colOff>171450</xdr:colOff>
      <xdr:row>206</xdr:row>
      <xdr:rowOff>76200</xdr:rowOff>
    </xdr:to>
    <xdr:graphicFrame macro="">
      <xdr:nvGraphicFramePr>
        <xdr:cNvPr id="21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129</xdr:row>
      <xdr:rowOff>152400</xdr:rowOff>
    </xdr:from>
    <xdr:to>
      <xdr:col>8</xdr:col>
      <xdr:colOff>428625</xdr:colOff>
      <xdr:row>151</xdr:row>
      <xdr:rowOff>104775</xdr:rowOff>
    </xdr:to>
    <xdr:graphicFrame macro="">
      <xdr:nvGraphicFramePr>
        <xdr:cNvPr id="217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47</xdr:row>
      <xdr:rowOff>28575</xdr:rowOff>
    </xdr:from>
    <xdr:to>
      <xdr:col>9</xdr:col>
      <xdr:colOff>304800</xdr:colOff>
      <xdr:row>66</xdr:row>
      <xdr:rowOff>57150</xdr:rowOff>
    </xdr:to>
    <xdr:graphicFrame macro="">
      <xdr:nvGraphicFramePr>
        <xdr:cNvPr id="204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Personal\Bo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achiner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opLeftCell="A7" workbookViewId="0">
      <selection activeCell="H19" sqref="H19:K29"/>
    </sheetView>
  </sheetViews>
  <sheetFormatPr defaultColWidth="14.7109375" defaultRowHeight="15" customHeight="1"/>
  <cols>
    <col min="8" max="8" width="16.140625" customWidth="1"/>
    <col min="9" max="9" width="12.42578125" customWidth="1"/>
    <col min="10" max="10" width="9.85546875" customWidth="1"/>
    <col min="11" max="11" width="10" customWidth="1"/>
  </cols>
  <sheetData>
    <row r="1" spans="1:7" ht="23.25" customHeight="1">
      <c r="A1" s="1306" t="s">
        <v>712</v>
      </c>
      <c r="B1" s="1307"/>
      <c r="C1" s="1307"/>
      <c r="D1" s="1307"/>
      <c r="E1" s="1307"/>
      <c r="F1" s="1308"/>
    </row>
    <row r="2" spans="1:7" ht="15" customHeight="1">
      <c r="A2" s="508" t="s">
        <v>0</v>
      </c>
      <c r="B2" s="371"/>
      <c r="C2" s="525">
        <v>9</v>
      </c>
      <c r="D2" s="523" t="s">
        <v>1</v>
      </c>
      <c r="E2" s="357"/>
      <c r="F2" s="524">
        <v>2.5</v>
      </c>
      <c r="G2" s="3"/>
    </row>
    <row r="3" spans="1:7" ht="15" customHeight="1">
      <c r="A3" s="389" t="s">
        <v>2</v>
      </c>
      <c r="B3" s="102"/>
      <c r="C3" s="512">
        <v>15</v>
      </c>
      <c r="D3" s="389" t="s">
        <v>3</v>
      </c>
      <c r="E3" s="102"/>
      <c r="F3" s="509">
        <v>2.75</v>
      </c>
      <c r="G3" s="3"/>
    </row>
    <row r="4" spans="1:7" ht="15" customHeight="1">
      <c r="A4" s="389" t="s">
        <v>4</v>
      </c>
      <c r="B4" s="102"/>
      <c r="C4" s="509">
        <v>15</v>
      </c>
      <c r="D4" s="489"/>
      <c r="E4" s="100"/>
      <c r="F4" s="510"/>
      <c r="G4" s="3"/>
    </row>
    <row r="5" spans="1:7" ht="15" customHeight="1">
      <c r="A5" s="389" t="s">
        <v>5</v>
      </c>
      <c r="B5" s="102"/>
      <c r="C5" s="526">
        <f>+Harvest!H19</f>
        <v>3.7717927350427352E-2</v>
      </c>
      <c r="D5" s="511" t="s">
        <v>6</v>
      </c>
      <c r="E5" s="501"/>
      <c r="F5" s="512">
        <v>0.06</v>
      </c>
      <c r="G5" s="3"/>
    </row>
    <row r="6" spans="1:7" ht="15" customHeight="1">
      <c r="A6" s="389"/>
      <c r="B6" s="102"/>
      <c r="C6" s="527"/>
      <c r="D6" s="513" t="s">
        <v>7</v>
      </c>
      <c r="E6" s="501"/>
      <c r="F6" s="514">
        <v>0.06</v>
      </c>
      <c r="G6" s="3"/>
    </row>
    <row r="7" spans="1:7" ht="15" customHeight="1">
      <c r="A7" s="389" t="s">
        <v>8</v>
      </c>
      <c r="B7" s="102"/>
      <c r="C7" s="509">
        <v>70</v>
      </c>
      <c r="D7" s="511" t="s">
        <v>676</v>
      </c>
      <c r="E7" s="502"/>
      <c r="F7" s="512">
        <v>0.2</v>
      </c>
      <c r="G7" s="3"/>
    </row>
    <row r="8" spans="1:7" ht="15" customHeight="1">
      <c r="A8" s="389"/>
      <c r="B8" s="102"/>
      <c r="C8" s="527"/>
      <c r="D8" s="511"/>
      <c r="E8" s="502"/>
      <c r="F8" s="512"/>
      <c r="G8" s="3"/>
    </row>
    <row r="9" spans="1:7" ht="15" customHeight="1">
      <c r="A9" s="389" t="s">
        <v>9</v>
      </c>
      <c r="B9" s="102"/>
      <c r="C9" s="512">
        <v>7.5</v>
      </c>
      <c r="D9" s="511" t="s">
        <v>10</v>
      </c>
      <c r="E9" s="501"/>
      <c r="F9" s="512">
        <v>6000</v>
      </c>
      <c r="G9" s="3"/>
    </row>
    <row r="10" spans="1:7" ht="15" customHeight="1">
      <c r="A10" s="389" t="s">
        <v>11</v>
      </c>
      <c r="B10" s="102"/>
      <c r="C10" s="528">
        <v>0.05</v>
      </c>
      <c r="D10" s="511" t="s">
        <v>12</v>
      </c>
      <c r="E10" s="501"/>
      <c r="F10" s="512">
        <v>35</v>
      </c>
      <c r="G10" s="3"/>
    </row>
    <row r="11" spans="1:7" ht="15" customHeight="1">
      <c r="A11" s="389" t="s">
        <v>13</v>
      </c>
      <c r="B11" s="102"/>
      <c r="C11" s="528">
        <v>0.25</v>
      </c>
      <c r="D11" s="511" t="s">
        <v>14</v>
      </c>
      <c r="E11" s="503"/>
      <c r="F11" s="512">
        <v>20</v>
      </c>
      <c r="G11" s="4"/>
    </row>
    <row r="12" spans="1:7" ht="15" customHeight="1">
      <c r="A12" s="389" t="s">
        <v>15</v>
      </c>
      <c r="B12" s="102"/>
      <c r="C12" s="528">
        <v>0.3</v>
      </c>
      <c r="D12" s="515" t="s">
        <v>410</v>
      </c>
      <c r="E12" s="504"/>
      <c r="F12" s="516">
        <v>150</v>
      </c>
      <c r="G12" s="3"/>
    </row>
    <row r="13" spans="1:7" ht="15" customHeight="1">
      <c r="A13" s="489"/>
      <c r="B13" s="100"/>
      <c r="C13" s="529"/>
      <c r="D13" s="517" t="s">
        <v>411</v>
      </c>
      <c r="E13" s="506" t="s">
        <v>413</v>
      </c>
      <c r="F13" s="518">
        <v>300</v>
      </c>
    </row>
    <row r="14" spans="1:7" ht="15" customHeight="1">
      <c r="A14" s="489"/>
      <c r="B14" s="100"/>
      <c r="C14" s="529"/>
      <c r="D14" s="517" t="s">
        <v>72</v>
      </c>
      <c r="E14" s="506" t="s">
        <v>412</v>
      </c>
      <c r="F14" s="518">
        <v>150</v>
      </c>
    </row>
    <row r="15" spans="1:7" ht="15" customHeight="1">
      <c r="A15" s="489"/>
      <c r="B15" s="100"/>
      <c r="C15" s="529"/>
      <c r="D15" s="515" t="s">
        <v>362</v>
      </c>
      <c r="E15" s="507"/>
      <c r="F15" s="516">
        <f>+Wildlife!J31</f>
        <v>28.16</v>
      </c>
    </row>
    <row r="16" spans="1:7" ht="15" customHeight="1">
      <c r="A16" s="489"/>
      <c r="B16" s="100"/>
      <c r="C16" s="529"/>
      <c r="D16" s="515" t="s">
        <v>677</v>
      </c>
      <c r="E16" s="507"/>
      <c r="F16" s="519"/>
    </row>
    <row r="17" spans="1:11" ht="15" customHeight="1">
      <c r="A17" s="530" t="s">
        <v>16</v>
      </c>
      <c r="B17" s="374"/>
      <c r="C17" s="531">
        <v>35</v>
      </c>
      <c r="D17" s="520" t="s">
        <v>17</v>
      </c>
      <c r="E17" s="521"/>
      <c r="F17" s="522">
        <v>12.5</v>
      </c>
      <c r="G17" s="5"/>
    </row>
    <row r="18" spans="1:11" ht="15" customHeight="1">
      <c r="A18" s="48"/>
      <c r="B18" s="16"/>
      <c r="C18" s="16"/>
      <c r="D18" s="16"/>
      <c r="E18" s="16"/>
      <c r="F18" s="56"/>
    </row>
    <row r="19" spans="1:11" ht="44.25" customHeight="1">
      <c r="A19" s="384" t="s">
        <v>18</v>
      </c>
      <c r="B19" s="385"/>
      <c r="C19" s="385"/>
      <c r="D19" s="386" t="s">
        <v>19</v>
      </c>
      <c r="E19" s="387" t="s">
        <v>20</v>
      </c>
      <c r="F19" s="388" t="s">
        <v>338</v>
      </c>
      <c r="H19" s="1369" t="s">
        <v>18</v>
      </c>
      <c r="I19" s="1370" t="s">
        <v>19</v>
      </c>
      <c r="J19" s="1371" t="s">
        <v>20</v>
      </c>
      <c r="K19" s="1372" t="s">
        <v>338</v>
      </c>
    </row>
    <row r="20" spans="1:11" ht="15" customHeight="1">
      <c r="A20" s="473" t="s">
        <v>373</v>
      </c>
      <c r="B20" s="474"/>
      <c r="C20" s="474"/>
      <c r="D20" s="475">
        <v>500</v>
      </c>
      <c r="E20" s="475">
        <v>500</v>
      </c>
      <c r="F20" s="476">
        <v>500</v>
      </c>
      <c r="H20" s="1376" t="s">
        <v>373</v>
      </c>
      <c r="I20" s="1377">
        <v>500</v>
      </c>
      <c r="J20" s="1377">
        <v>500</v>
      </c>
      <c r="K20" s="1377">
        <v>500</v>
      </c>
    </row>
    <row r="21" spans="1:11" ht="15" customHeight="1">
      <c r="A21" s="348" t="s">
        <v>25</v>
      </c>
      <c r="B21" s="102"/>
      <c r="C21" s="102"/>
      <c r="D21" s="140">
        <f>43560/D20/CLRowSpace</f>
        <v>4.84</v>
      </c>
      <c r="E21" s="477">
        <f>43560/E20/VARowSpace</f>
        <v>6.2228571428571433</v>
      </c>
      <c r="F21" s="478">
        <f>43560/F20/SSRowSpace</f>
        <v>7.2600000000000007</v>
      </c>
      <c r="H21" s="1378" t="s">
        <v>25</v>
      </c>
      <c r="I21" s="1379">
        <f>43560/I20/CLRowSpace</f>
        <v>4.84</v>
      </c>
      <c r="J21" s="1380">
        <f>43560/J20/VARowSpace</f>
        <v>6.2228571428571433</v>
      </c>
      <c r="K21" s="1380">
        <f>43560/K20/SSRowSpace</f>
        <v>7.2600000000000007</v>
      </c>
    </row>
    <row r="22" spans="1:11" ht="15" customHeight="1">
      <c r="A22" s="389" t="s">
        <v>21</v>
      </c>
      <c r="B22" s="102"/>
      <c r="C22" s="102"/>
      <c r="D22" s="141">
        <v>12</v>
      </c>
      <c r="E22" s="479">
        <v>5</v>
      </c>
      <c r="F22" s="480">
        <v>3</v>
      </c>
      <c r="H22" s="1381" t="s">
        <v>21</v>
      </c>
      <c r="I22" s="1382">
        <v>12</v>
      </c>
      <c r="J22" s="1377">
        <v>5</v>
      </c>
      <c r="K22" s="1377">
        <v>3</v>
      </c>
    </row>
    <row r="23" spans="1:11" ht="15" customHeight="1">
      <c r="A23" s="389" t="s">
        <v>22</v>
      </c>
      <c r="B23" s="102"/>
      <c r="C23" s="102"/>
      <c r="D23" s="141">
        <v>18</v>
      </c>
      <c r="E23" s="479">
        <v>14</v>
      </c>
      <c r="F23" s="480">
        <v>12</v>
      </c>
      <c r="H23" s="1381" t="s">
        <v>22</v>
      </c>
      <c r="I23" s="1382">
        <v>18</v>
      </c>
      <c r="J23" s="1377">
        <v>14</v>
      </c>
      <c r="K23" s="1377">
        <v>12</v>
      </c>
    </row>
    <row r="24" spans="1:11" ht="15" customHeight="1">
      <c r="A24" s="389" t="s">
        <v>23</v>
      </c>
      <c r="B24" s="102"/>
      <c r="C24" s="102"/>
      <c r="D24" s="141">
        <f>+D22*D23</f>
        <v>216</v>
      </c>
      <c r="E24" s="479">
        <f>+E22*E23</f>
        <v>70</v>
      </c>
      <c r="F24" s="480">
        <f>+F22*F23</f>
        <v>36</v>
      </c>
      <c r="H24" s="1381" t="s">
        <v>23</v>
      </c>
      <c r="I24" s="1382">
        <f>+I22*I23</f>
        <v>216</v>
      </c>
      <c r="J24" s="1377">
        <f>+J22*J23</f>
        <v>70</v>
      </c>
      <c r="K24" s="1377">
        <f>+K22*K23</f>
        <v>36</v>
      </c>
    </row>
    <row r="25" spans="1:11" ht="15" customHeight="1">
      <c r="A25" s="389" t="s">
        <v>24</v>
      </c>
      <c r="B25" s="100"/>
      <c r="C25" s="100"/>
      <c r="D25" s="142">
        <f>43560/D24</f>
        <v>201.66666666666666</v>
      </c>
      <c r="E25" s="481">
        <f>43560/E24</f>
        <v>622.28571428571433</v>
      </c>
      <c r="F25" s="482">
        <f>43560/F24</f>
        <v>1210</v>
      </c>
      <c r="H25" s="1381" t="s">
        <v>24</v>
      </c>
      <c r="I25" s="1383">
        <f>43560/I24</f>
        <v>201.66666666666666</v>
      </c>
      <c r="J25" s="1384">
        <f>43560/J24</f>
        <v>622.28571428571433</v>
      </c>
      <c r="K25" s="1384">
        <f>43560/K24</f>
        <v>1210</v>
      </c>
    </row>
    <row r="26" spans="1:11" ht="15" customHeight="1">
      <c r="A26" s="390" t="s">
        <v>610</v>
      </c>
      <c r="B26" s="100"/>
      <c r="C26" s="100"/>
      <c r="D26" s="142">
        <f>43560/D23</f>
        <v>2420</v>
      </c>
      <c r="E26" s="142">
        <f>43560/E23</f>
        <v>3111.4285714285716</v>
      </c>
      <c r="F26" s="391">
        <f>43560/F23</f>
        <v>3630</v>
      </c>
      <c r="H26" s="1385" t="s">
        <v>610</v>
      </c>
      <c r="I26" s="1383">
        <f>43560/I23</f>
        <v>2420</v>
      </c>
      <c r="J26" s="1383">
        <f>43560/J23</f>
        <v>3111.4285714285716</v>
      </c>
      <c r="K26" s="1383">
        <f>43560/K23</f>
        <v>3630</v>
      </c>
    </row>
    <row r="27" spans="1:11" ht="15" customHeight="1">
      <c r="A27" s="390" t="s">
        <v>609</v>
      </c>
      <c r="B27" s="102"/>
      <c r="C27" s="102"/>
      <c r="D27" s="141">
        <f>+CLRowSpace-6</f>
        <v>12</v>
      </c>
      <c r="E27" s="141">
        <f>+VARowSpace-5</f>
        <v>9</v>
      </c>
      <c r="F27" s="392">
        <f>+SSRowSpace-5</f>
        <v>7</v>
      </c>
      <c r="H27" s="1385" t="s">
        <v>609</v>
      </c>
      <c r="I27" s="1382">
        <f>+CLRowSpace-6</f>
        <v>12</v>
      </c>
      <c r="J27" s="1382">
        <f>+VARowSpace-5</f>
        <v>9</v>
      </c>
      <c r="K27" s="1382">
        <f>+SSRowSpace-5</f>
        <v>7</v>
      </c>
    </row>
    <row r="28" spans="1:11" ht="15" customHeight="1">
      <c r="A28" s="348" t="s">
        <v>26</v>
      </c>
      <c r="B28" s="102"/>
      <c r="C28" s="102"/>
      <c r="D28" s="143">
        <v>18</v>
      </c>
      <c r="E28" s="479">
        <v>12</v>
      </c>
      <c r="F28" s="480">
        <v>10</v>
      </c>
      <c r="H28" s="1378" t="s">
        <v>26</v>
      </c>
      <c r="I28" s="1386">
        <v>18</v>
      </c>
      <c r="J28" s="1377">
        <v>12</v>
      </c>
      <c r="K28" s="1377">
        <v>10</v>
      </c>
    </row>
    <row r="29" spans="1:11" ht="15" customHeight="1">
      <c r="A29" s="390" t="s">
        <v>684</v>
      </c>
      <c r="B29" s="102"/>
      <c r="C29" s="102"/>
      <c r="D29" s="141">
        <v>100</v>
      </c>
      <c r="E29" s="141">
        <v>80</v>
      </c>
      <c r="F29" s="392">
        <v>60</v>
      </c>
      <c r="H29" s="1385" t="s">
        <v>684</v>
      </c>
      <c r="I29" s="1382">
        <v>100</v>
      </c>
      <c r="J29" s="1382">
        <v>80</v>
      </c>
      <c r="K29" s="1382">
        <v>60</v>
      </c>
    </row>
    <row r="30" spans="1:11" ht="15" customHeight="1">
      <c r="A30" s="393"/>
      <c r="B30" s="334"/>
      <c r="C30" s="334"/>
      <c r="D30" s="334"/>
      <c r="E30" s="334"/>
      <c r="F30" s="394"/>
      <c r="H30" s="1373"/>
      <c r="I30" s="1374"/>
      <c r="J30" s="1374"/>
      <c r="K30" s="1375"/>
    </row>
    <row r="31" spans="1:11" ht="15" customHeight="1">
      <c r="A31" s="139"/>
      <c r="B31" s="125"/>
      <c r="C31" s="133"/>
      <c r="D31" s="133"/>
      <c r="E31" s="133"/>
      <c r="F31" s="16"/>
    </row>
    <row r="32" spans="1:11" ht="15" customHeight="1">
      <c r="A32" s="95" t="s">
        <v>27</v>
      </c>
    </row>
    <row r="34" spans="1:5" ht="20.25" customHeight="1">
      <c r="A34" s="492" t="s">
        <v>28</v>
      </c>
      <c r="B34" s="496" t="s">
        <v>29</v>
      </c>
      <c r="C34" s="484"/>
      <c r="D34" s="484"/>
      <c r="E34" s="341"/>
    </row>
    <row r="35" spans="1:5" ht="15" customHeight="1">
      <c r="A35" s="493"/>
      <c r="B35" s="497" t="s">
        <v>30</v>
      </c>
      <c r="C35" s="485" t="s">
        <v>19</v>
      </c>
      <c r="D35" s="485" t="s">
        <v>20</v>
      </c>
      <c r="E35" s="486" t="s">
        <v>338</v>
      </c>
    </row>
    <row r="36" spans="1:5" ht="15" customHeight="1">
      <c r="A36" s="494"/>
      <c r="B36" s="498">
        <v>0</v>
      </c>
      <c r="C36" s="359">
        <v>0</v>
      </c>
      <c r="D36" s="366">
        <v>0</v>
      </c>
      <c r="E36" s="488">
        <v>0</v>
      </c>
    </row>
    <row r="37" spans="1:5" ht="15" customHeight="1">
      <c r="A37" s="495"/>
      <c r="B37" s="499">
        <f t="shared" ref="B37:B56" si="0">+B36+1</f>
        <v>1</v>
      </c>
      <c r="C37" s="131">
        <v>0</v>
      </c>
      <c r="D37" s="483">
        <f>+D36</f>
        <v>0</v>
      </c>
      <c r="E37" s="490">
        <v>0</v>
      </c>
    </row>
    <row r="38" spans="1:5" ht="15" customHeight="1">
      <c r="A38" s="495"/>
      <c r="B38" s="499">
        <f t="shared" si="0"/>
        <v>2</v>
      </c>
      <c r="C38" s="131">
        <v>0</v>
      </c>
      <c r="D38" s="483">
        <f>+D37</f>
        <v>0</v>
      </c>
      <c r="E38" s="490">
        <v>50</v>
      </c>
    </row>
    <row r="39" spans="1:5" ht="15" customHeight="1">
      <c r="A39" s="495"/>
      <c r="B39" s="499">
        <f t="shared" si="0"/>
        <v>3</v>
      </c>
      <c r="C39" s="131">
        <v>0</v>
      </c>
      <c r="D39" s="483">
        <v>150</v>
      </c>
      <c r="E39" s="490">
        <v>200</v>
      </c>
    </row>
    <row r="40" spans="1:5" ht="15" customHeight="1">
      <c r="A40" s="495"/>
      <c r="B40" s="499">
        <f t="shared" si="0"/>
        <v>4</v>
      </c>
      <c r="C40" s="131">
        <v>100</v>
      </c>
      <c r="D40" s="483">
        <v>300</v>
      </c>
      <c r="E40" s="490">
        <v>500</v>
      </c>
    </row>
    <row r="41" spans="1:5" ht="15" customHeight="1">
      <c r="A41" s="495"/>
      <c r="B41" s="499">
        <f t="shared" si="0"/>
        <v>5</v>
      </c>
      <c r="C41" s="131">
        <v>150</v>
      </c>
      <c r="D41" s="483">
        <v>600</v>
      </c>
      <c r="E41" s="490">
        <v>1000</v>
      </c>
    </row>
    <row r="42" spans="1:5" ht="15" customHeight="1">
      <c r="A42" s="495"/>
      <c r="B42" s="499">
        <f t="shared" si="0"/>
        <v>6</v>
      </c>
      <c r="C42" s="131">
        <v>300</v>
      </c>
      <c r="D42" s="483">
        <v>700</v>
      </c>
      <c r="E42" s="490">
        <f t="shared" ref="E42:E56" si="1">+E41</f>
        <v>1000</v>
      </c>
    </row>
    <row r="43" spans="1:5" ht="15" customHeight="1">
      <c r="A43" s="495"/>
      <c r="B43" s="499">
        <f t="shared" si="0"/>
        <v>7</v>
      </c>
      <c r="C43" s="131">
        <v>400</v>
      </c>
      <c r="D43" s="483">
        <v>750</v>
      </c>
      <c r="E43" s="490">
        <f t="shared" si="1"/>
        <v>1000</v>
      </c>
    </row>
    <row r="44" spans="1:5" ht="15" customHeight="1">
      <c r="A44" s="495"/>
      <c r="B44" s="499">
        <f t="shared" si="0"/>
        <v>8</v>
      </c>
      <c r="C44" s="131">
        <v>500</v>
      </c>
      <c r="D44" s="483">
        <f t="shared" ref="D44:D56" si="2">+D43</f>
        <v>750</v>
      </c>
      <c r="E44" s="490">
        <f t="shared" si="1"/>
        <v>1000</v>
      </c>
    </row>
    <row r="45" spans="1:5" ht="15" customHeight="1">
      <c r="A45" s="495"/>
      <c r="B45" s="499">
        <f t="shared" si="0"/>
        <v>9</v>
      </c>
      <c r="C45" s="483">
        <v>650</v>
      </c>
      <c r="D45" s="483">
        <f t="shared" si="2"/>
        <v>750</v>
      </c>
      <c r="E45" s="490">
        <f t="shared" si="1"/>
        <v>1000</v>
      </c>
    </row>
    <row r="46" spans="1:5" ht="15" customHeight="1">
      <c r="A46" s="495"/>
      <c r="B46" s="499">
        <f t="shared" si="0"/>
        <v>10</v>
      </c>
      <c r="C46" s="483">
        <v>650</v>
      </c>
      <c r="D46" s="483">
        <f t="shared" si="2"/>
        <v>750</v>
      </c>
      <c r="E46" s="490">
        <f t="shared" si="1"/>
        <v>1000</v>
      </c>
    </row>
    <row r="47" spans="1:5" ht="15" customHeight="1">
      <c r="A47" s="495"/>
      <c r="B47" s="499">
        <f t="shared" si="0"/>
        <v>11</v>
      </c>
      <c r="C47" s="483">
        <f t="shared" ref="C47:C56" si="3">+C46</f>
        <v>650</v>
      </c>
      <c r="D47" s="483">
        <f t="shared" si="2"/>
        <v>750</v>
      </c>
      <c r="E47" s="490">
        <f t="shared" si="1"/>
        <v>1000</v>
      </c>
    </row>
    <row r="48" spans="1:5" ht="15" customHeight="1">
      <c r="A48" s="495"/>
      <c r="B48" s="499">
        <f t="shared" si="0"/>
        <v>12</v>
      </c>
      <c r="C48" s="483">
        <f t="shared" si="3"/>
        <v>650</v>
      </c>
      <c r="D48" s="483">
        <f t="shared" si="2"/>
        <v>750</v>
      </c>
      <c r="E48" s="490">
        <f t="shared" si="1"/>
        <v>1000</v>
      </c>
    </row>
    <row r="49" spans="1:5" ht="15" customHeight="1">
      <c r="A49" s="495"/>
      <c r="B49" s="499">
        <f t="shared" si="0"/>
        <v>13</v>
      </c>
      <c r="C49" s="483">
        <f t="shared" si="3"/>
        <v>650</v>
      </c>
      <c r="D49" s="483">
        <f t="shared" si="2"/>
        <v>750</v>
      </c>
      <c r="E49" s="490">
        <f t="shared" si="1"/>
        <v>1000</v>
      </c>
    </row>
    <row r="50" spans="1:5" ht="15" customHeight="1">
      <c r="A50" s="495"/>
      <c r="B50" s="499">
        <f t="shared" si="0"/>
        <v>14</v>
      </c>
      <c r="C50" s="483">
        <f t="shared" si="3"/>
        <v>650</v>
      </c>
      <c r="D50" s="483">
        <f t="shared" si="2"/>
        <v>750</v>
      </c>
      <c r="E50" s="490">
        <f t="shared" si="1"/>
        <v>1000</v>
      </c>
    </row>
    <row r="51" spans="1:5" ht="15" customHeight="1">
      <c r="A51" s="495"/>
      <c r="B51" s="499">
        <f t="shared" si="0"/>
        <v>15</v>
      </c>
      <c r="C51" s="483">
        <f t="shared" si="3"/>
        <v>650</v>
      </c>
      <c r="D51" s="483">
        <f t="shared" si="2"/>
        <v>750</v>
      </c>
      <c r="E51" s="490">
        <f t="shared" si="1"/>
        <v>1000</v>
      </c>
    </row>
    <row r="52" spans="1:5" ht="15" customHeight="1">
      <c r="A52" s="495"/>
      <c r="B52" s="499">
        <f t="shared" si="0"/>
        <v>16</v>
      </c>
      <c r="C52" s="483">
        <f t="shared" si="3"/>
        <v>650</v>
      </c>
      <c r="D52" s="483">
        <f t="shared" si="2"/>
        <v>750</v>
      </c>
      <c r="E52" s="490">
        <f t="shared" si="1"/>
        <v>1000</v>
      </c>
    </row>
    <row r="53" spans="1:5" ht="15" customHeight="1">
      <c r="A53" s="495"/>
      <c r="B53" s="499">
        <f t="shared" si="0"/>
        <v>17</v>
      </c>
      <c r="C53" s="483">
        <f t="shared" si="3"/>
        <v>650</v>
      </c>
      <c r="D53" s="483">
        <f t="shared" si="2"/>
        <v>750</v>
      </c>
      <c r="E53" s="490">
        <f t="shared" si="1"/>
        <v>1000</v>
      </c>
    </row>
    <row r="54" spans="1:5" ht="15" customHeight="1">
      <c r="A54" s="495"/>
      <c r="B54" s="499">
        <f t="shared" si="0"/>
        <v>18</v>
      </c>
      <c r="C54" s="483">
        <f t="shared" si="3"/>
        <v>650</v>
      </c>
      <c r="D54" s="483">
        <f t="shared" si="2"/>
        <v>750</v>
      </c>
      <c r="E54" s="490">
        <f t="shared" si="1"/>
        <v>1000</v>
      </c>
    </row>
    <row r="55" spans="1:5" ht="15" customHeight="1">
      <c r="A55" s="495"/>
      <c r="B55" s="499">
        <f t="shared" si="0"/>
        <v>19</v>
      </c>
      <c r="C55" s="483">
        <f t="shared" si="3"/>
        <v>650</v>
      </c>
      <c r="D55" s="483">
        <f t="shared" si="2"/>
        <v>750</v>
      </c>
      <c r="E55" s="490">
        <f t="shared" si="1"/>
        <v>1000</v>
      </c>
    </row>
    <row r="56" spans="1:5" ht="15" customHeight="1">
      <c r="A56" s="493"/>
      <c r="B56" s="500">
        <f t="shared" si="0"/>
        <v>20</v>
      </c>
      <c r="C56" s="375">
        <f t="shared" si="3"/>
        <v>650</v>
      </c>
      <c r="D56" s="375">
        <f t="shared" si="2"/>
        <v>750</v>
      </c>
      <c r="E56" s="491">
        <f t="shared" si="1"/>
        <v>1000</v>
      </c>
    </row>
    <row r="57" spans="1:5" ht="15" customHeight="1">
      <c r="B57" s="34"/>
      <c r="C57" s="34"/>
      <c r="D57" s="34"/>
      <c r="E57" s="66"/>
    </row>
    <row r="58" spans="1:5" ht="15" customHeight="1">
      <c r="A58" s="83" t="s">
        <v>31</v>
      </c>
      <c r="C58" s="34"/>
      <c r="D58" s="34"/>
      <c r="E58" s="66"/>
    </row>
    <row r="59" spans="1:5" ht="15" customHeight="1">
      <c r="A59" s="83" t="s">
        <v>32</v>
      </c>
      <c r="C59" s="34"/>
      <c r="D59" s="34"/>
      <c r="E59" s="66"/>
    </row>
  </sheetData>
  <mergeCells count="1">
    <mergeCell ref="A1:F1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66"/>
  <sheetViews>
    <sheetView workbookViewId="0">
      <pane ySplit="2" topLeftCell="A39" activePane="bottomLeft" state="frozen"/>
      <selection activeCell="H15" sqref="H15"/>
      <selection pane="bottomLeft" activeCell="E48" sqref="E48"/>
    </sheetView>
  </sheetViews>
  <sheetFormatPr defaultRowHeight="15" customHeight="1"/>
  <cols>
    <col min="1" max="1" width="3" style="119" customWidth="1"/>
    <col min="2" max="2" width="15" style="119" customWidth="1"/>
    <col min="3" max="3" width="16.7109375" style="119" customWidth="1"/>
    <col min="4" max="4" width="4.28515625" style="969" customWidth="1"/>
    <col min="5" max="5" width="14.140625" style="119" customWidth="1"/>
    <col min="6" max="6" width="5.28515625" style="119" customWidth="1"/>
    <col min="7" max="7" width="5.42578125" style="119" customWidth="1"/>
    <col min="8" max="8" width="7.85546875" style="119" customWidth="1"/>
    <col min="9" max="9" width="3.7109375" style="119" customWidth="1"/>
    <col min="10" max="11" width="9" style="119" customWidth="1"/>
    <col min="12" max="12" width="9.140625" style="1"/>
    <col min="22" max="16384" width="9.140625" style="117"/>
  </cols>
  <sheetData>
    <row r="1" spans="1:22" ht="21" customHeight="1">
      <c r="A1" s="1342" t="s">
        <v>94</v>
      </c>
      <c r="B1" s="1342"/>
      <c r="C1" s="1342"/>
      <c r="D1" s="1341" t="s">
        <v>228</v>
      </c>
      <c r="E1" s="1341"/>
      <c r="F1" s="1341"/>
      <c r="G1" s="1341"/>
      <c r="H1" s="1341"/>
      <c r="I1" s="1341"/>
      <c r="J1" s="1341"/>
      <c r="K1" s="1341"/>
      <c r="L1" s="990"/>
      <c r="M1" s="991" t="s">
        <v>438</v>
      </c>
      <c r="N1" s="991" t="s">
        <v>433</v>
      </c>
      <c r="O1" s="991" t="s">
        <v>447</v>
      </c>
      <c r="P1" s="991" t="s">
        <v>441</v>
      </c>
      <c r="Q1" s="991" t="s">
        <v>577</v>
      </c>
    </row>
    <row r="2" spans="1:22" s="118" customFormat="1" ht="29.25" customHeight="1">
      <c r="A2" s="149" t="s">
        <v>348</v>
      </c>
      <c r="B2" s="150"/>
      <c r="C2" s="150" t="s">
        <v>180</v>
      </c>
      <c r="D2" s="150" t="s">
        <v>616</v>
      </c>
      <c r="E2" s="150" t="s">
        <v>66</v>
      </c>
      <c r="F2" s="149" t="s">
        <v>181</v>
      </c>
      <c r="G2" s="150"/>
      <c r="H2" s="1343" t="s">
        <v>617</v>
      </c>
      <c r="I2" s="1343"/>
      <c r="J2" s="171" t="s">
        <v>349</v>
      </c>
      <c r="K2" s="171" t="s">
        <v>182</v>
      </c>
      <c r="L2" s="992"/>
      <c r="M2" s="991" t="s">
        <v>685</v>
      </c>
      <c r="N2" s="991" t="s">
        <v>686</v>
      </c>
      <c r="O2" s="991" t="s">
        <v>687</v>
      </c>
      <c r="P2" s="991" t="s">
        <v>688</v>
      </c>
      <c r="Q2" s="991" t="s">
        <v>689</v>
      </c>
      <c r="V2" s="117"/>
    </row>
    <row r="3" spans="1:22" ht="15" customHeight="1">
      <c r="A3" s="151">
        <v>1</v>
      </c>
      <c r="B3" s="152" t="s">
        <v>186</v>
      </c>
      <c r="C3" s="152" t="s">
        <v>187</v>
      </c>
      <c r="D3" s="153">
        <v>45</v>
      </c>
      <c r="E3" s="152" t="str">
        <f t="shared" ref="E3:E49" si="0">VLOOKUP($D3,SprayCost,3)</f>
        <v>C-O-C-S</v>
      </c>
      <c r="F3" s="152">
        <f>VLOOKUP($D3,SprayCost,11)</f>
        <v>6</v>
      </c>
      <c r="G3" s="152" t="str">
        <f t="shared" ref="G3:G49" si="1">VLOOKUP($D3,SprayCost,12)</f>
        <v>lb</v>
      </c>
      <c r="H3" s="154">
        <f t="shared" ref="H3:H49" si="2">VLOOKUP($D3,SprayCost,13)</f>
        <v>3.5500000000000003</v>
      </c>
      <c r="I3" s="152" t="str">
        <f t="shared" ref="I3:I49" si="3">VLOOKUP($D3,SprayCost,12)</f>
        <v>lb</v>
      </c>
      <c r="J3" s="153">
        <v>100</v>
      </c>
      <c r="K3" s="155">
        <f t="shared" ref="K3:K50" si="4">+F3*H3*J3*0.01</f>
        <v>21.3</v>
      </c>
      <c r="L3" s="983" t="str">
        <f t="shared" ref="L3:L49" si="5">VLOOKUP($D3,SprayCost,2)</f>
        <v>d</v>
      </c>
      <c r="M3" s="981">
        <f>IF($L3=M$1,$K3,0)</f>
        <v>21.3</v>
      </c>
      <c r="N3" s="545">
        <f t="shared" ref="N3:Q22" si="6">IF($L3=N$1,$K3,0)</f>
        <v>0</v>
      </c>
      <c r="O3" s="545">
        <f t="shared" si="6"/>
        <v>0</v>
      </c>
      <c r="P3" s="545">
        <f t="shared" si="6"/>
        <v>0</v>
      </c>
      <c r="Q3" s="989">
        <f t="shared" si="6"/>
        <v>0</v>
      </c>
    </row>
    <row r="4" spans="1:22" ht="15" customHeight="1">
      <c r="A4" s="156"/>
      <c r="B4" s="145"/>
      <c r="C4" s="145"/>
      <c r="D4" s="144">
        <v>32</v>
      </c>
      <c r="E4" s="145" t="str">
        <f t="shared" si="0"/>
        <v>Oil</v>
      </c>
      <c r="F4" s="145">
        <v>0.25</v>
      </c>
      <c r="G4" s="145" t="str">
        <f t="shared" si="1"/>
        <v>gal</v>
      </c>
      <c r="H4" s="146">
        <f t="shared" si="2"/>
        <v>6.95</v>
      </c>
      <c r="I4" s="145" t="str">
        <f t="shared" si="3"/>
        <v>gal</v>
      </c>
      <c r="J4" s="144">
        <v>100</v>
      </c>
      <c r="K4" s="157">
        <f t="shared" si="4"/>
        <v>1.7375</v>
      </c>
      <c r="L4" s="984" t="str">
        <f t="shared" si="5"/>
        <v>i</v>
      </c>
      <c r="M4" s="976">
        <f t="shared" ref="M4:M19" si="7">IF($L4=M$1,$K4,0)</f>
        <v>0</v>
      </c>
      <c r="N4" s="532">
        <f t="shared" si="6"/>
        <v>1.7375</v>
      </c>
      <c r="O4" s="532">
        <f t="shared" si="6"/>
        <v>0</v>
      </c>
      <c r="P4" s="532">
        <f t="shared" si="6"/>
        <v>0</v>
      </c>
      <c r="Q4" s="974">
        <f t="shared" si="6"/>
        <v>0</v>
      </c>
    </row>
    <row r="5" spans="1:22" ht="15" customHeight="1">
      <c r="A5" s="156">
        <f>+A3+1</f>
        <v>2</v>
      </c>
      <c r="B5" s="145" t="s">
        <v>197</v>
      </c>
      <c r="C5" s="145" t="s">
        <v>198</v>
      </c>
      <c r="D5" s="144">
        <v>56</v>
      </c>
      <c r="E5" s="145" t="str">
        <f t="shared" si="0"/>
        <v>Dithane</v>
      </c>
      <c r="F5" s="145">
        <f>VLOOKUP($D5,SprayCost,11)</f>
        <v>6</v>
      </c>
      <c r="G5" s="145" t="str">
        <f t="shared" si="1"/>
        <v>lb</v>
      </c>
      <c r="H5" s="146">
        <f t="shared" si="2"/>
        <v>3.875</v>
      </c>
      <c r="I5" s="145" t="str">
        <f t="shared" si="3"/>
        <v>lb</v>
      </c>
      <c r="J5" s="144">
        <v>100</v>
      </c>
      <c r="K5" s="157">
        <f t="shared" si="4"/>
        <v>23.25</v>
      </c>
      <c r="L5" s="984" t="str">
        <f t="shared" si="5"/>
        <v>d</v>
      </c>
      <c r="M5" s="976">
        <f t="shared" si="7"/>
        <v>23.25</v>
      </c>
      <c r="N5" s="532">
        <f t="shared" si="6"/>
        <v>0</v>
      </c>
      <c r="O5" s="532">
        <f t="shared" si="6"/>
        <v>0</v>
      </c>
      <c r="P5" s="532">
        <f t="shared" si="6"/>
        <v>0</v>
      </c>
      <c r="Q5" s="974">
        <f t="shared" si="6"/>
        <v>0</v>
      </c>
    </row>
    <row r="6" spans="1:22" ht="15" customHeight="1">
      <c r="A6" s="156">
        <f>+A5+1</f>
        <v>3</v>
      </c>
      <c r="B6" s="145" t="s">
        <v>190</v>
      </c>
      <c r="C6" s="145" t="s">
        <v>191</v>
      </c>
      <c r="D6" s="144">
        <v>56</v>
      </c>
      <c r="E6" s="145" t="str">
        <f t="shared" si="0"/>
        <v>Dithane</v>
      </c>
      <c r="F6" s="145">
        <f>VLOOKUP($D6,SprayCost,11)</f>
        <v>6</v>
      </c>
      <c r="G6" s="145" t="str">
        <f t="shared" si="1"/>
        <v>lb</v>
      </c>
      <c r="H6" s="146">
        <f t="shared" si="2"/>
        <v>3.875</v>
      </c>
      <c r="I6" s="145" t="str">
        <f t="shared" si="3"/>
        <v>lb</v>
      </c>
      <c r="J6" s="144">
        <v>100</v>
      </c>
      <c r="K6" s="157">
        <f t="shared" si="4"/>
        <v>23.25</v>
      </c>
      <c r="L6" s="984" t="str">
        <f t="shared" si="5"/>
        <v>d</v>
      </c>
      <c r="M6" s="976">
        <f t="shared" si="7"/>
        <v>23.25</v>
      </c>
      <c r="N6" s="532">
        <f t="shared" si="6"/>
        <v>0</v>
      </c>
      <c r="O6" s="532">
        <f t="shared" si="6"/>
        <v>0</v>
      </c>
      <c r="P6" s="532">
        <f t="shared" si="6"/>
        <v>0</v>
      </c>
      <c r="Q6" s="974">
        <f t="shared" si="6"/>
        <v>0</v>
      </c>
    </row>
    <row r="7" spans="1:22" ht="15" customHeight="1">
      <c r="A7" s="156">
        <f>+A6+1</f>
        <v>4</v>
      </c>
      <c r="B7" s="145" t="s">
        <v>192</v>
      </c>
      <c r="C7" s="145" t="s">
        <v>191</v>
      </c>
      <c r="D7" s="144">
        <v>56</v>
      </c>
      <c r="E7" s="145" t="str">
        <f t="shared" si="0"/>
        <v>Dithane</v>
      </c>
      <c r="F7" s="145">
        <f>VLOOKUP($D7,SprayCost,11)</f>
        <v>6</v>
      </c>
      <c r="G7" s="145" t="str">
        <f t="shared" si="1"/>
        <v>lb</v>
      </c>
      <c r="H7" s="146">
        <f t="shared" si="2"/>
        <v>3.875</v>
      </c>
      <c r="I7" s="145" t="str">
        <f t="shared" si="3"/>
        <v>lb</v>
      </c>
      <c r="J7" s="144">
        <v>100</v>
      </c>
      <c r="K7" s="157">
        <f t="shared" si="4"/>
        <v>23.25</v>
      </c>
      <c r="L7" s="984" t="str">
        <f t="shared" si="5"/>
        <v>d</v>
      </c>
      <c r="M7" s="976">
        <f t="shared" si="7"/>
        <v>23.25</v>
      </c>
      <c r="N7" s="532">
        <f t="shared" si="6"/>
        <v>0</v>
      </c>
      <c r="O7" s="532">
        <f t="shared" si="6"/>
        <v>0</v>
      </c>
      <c r="P7" s="532">
        <f t="shared" si="6"/>
        <v>0</v>
      </c>
      <c r="Q7" s="974">
        <f t="shared" si="6"/>
        <v>0</v>
      </c>
    </row>
    <row r="8" spans="1:22" ht="15" customHeight="1">
      <c r="A8" s="156"/>
      <c r="B8" s="145"/>
      <c r="C8" s="145" t="s">
        <v>199</v>
      </c>
      <c r="D8" s="144">
        <v>77</v>
      </c>
      <c r="E8" s="145" t="str">
        <f t="shared" si="0"/>
        <v>Lorsban 4E</v>
      </c>
      <c r="F8" s="145">
        <f>VLOOKUP($D8,SprayCost,11)</f>
        <v>1.5</v>
      </c>
      <c r="G8" s="145" t="str">
        <f t="shared" si="1"/>
        <v>qt</v>
      </c>
      <c r="H8" s="146">
        <f t="shared" si="2"/>
        <v>9.5266666666666673</v>
      </c>
      <c r="I8" s="145" t="str">
        <f t="shared" si="3"/>
        <v>qt</v>
      </c>
      <c r="J8" s="144">
        <v>100</v>
      </c>
      <c r="K8" s="157">
        <f t="shared" si="4"/>
        <v>14.290000000000001</v>
      </c>
      <c r="L8" s="984" t="str">
        <f t="shared" si="5"/>
        <v>i</v>
      </c>
      <c r="M8" s="976">
        <f t="shared" si="7"/>
        <v>0</v>
      </c>
      <c r="N8" s="532">
        <f t="shared" si="6"/>
        <v>14.290000000000001</v>
      </c>
      <c r="O8" s="532">
        <f t="shared" si="6"/>
        <v>0</v>
      </c>
      <c r="P8" s="532">
        <f t="shared" si="6"/>
        <v>0</v>
      </c>
      <c r="Q8" s="974">
        <f t="shared" si="6"/>
        <v>0</v>
      </c>
    </row>
    <row r="9" spans="1:22" ht="15" customHeight="1">
      <c r="A9" s="156"/>
      <c r="B9" s="145"/>
      <c r="C9" s="145" t="s">
        <v>591</v>
      </c>
      <c r="D9" s="144">
        <v>10</v>
      </c>
      <c r="E9" s="145" t="str">
        <f t="shared" si="0"/>
        <v>Actara</v>
      </c>
      <c r="F9" s="145">
        <f>VLOOKUP($D9,SprayCost,11)</f>
        <v>2.75</v>
      </c>
      <c r="G9" s="145" t="str">
        <f t="shared" si="1"/>
        <v>oz</v>
      </c>
      <c r="H9" s="146">
        <f t="shared" si="2"/>
        <v>5.43</v>
      </c>
      <c r="I9" s="145" t="str">
        <f t="shared" si="3"/>
        <v>oz</v>
      </c>
      <c r="J9" s="144">
        <v>100</v>
      </c>
      <c r="K9" s="157">
        <f t="shared" si="4"/>
        <v>14.932500000000001</v>
      </c>
      <c r="L9" s="984" t="str">
        <f t="shared" si="5"/>
        <v>i</v>
      </c>
      <c r="M9" s="976">
        <f t="shared" si="7"/>
        <v>0</v>
      </c>
      <c r="N9" s="532">
        <f t="shared" si="6"/>
        <v>14.932500000000001</v>
      </c>
      <c r="O9" s="532">
        <f t="shared" si="6"/>
        <v>0</v>
      </c>
      <c r="P9" s="532">
        <f t="shared" si="6"/>
        <v>0</v>
      </c>
      <c r="Q9" s="974">
        <f t="shared" si="6"/>
        <v>0</v>
      </c>
    </row>
    <row r="10" spans="1:22" ht="15" customHeight="1">
      <c r="A10" s="156">
        <f>+A7+1</f>
        <v>5</v>
      </c>
      <c r="B10" s="145" t="s">
        <v>193</v>
      </c>
      <c r="C10" s="145" t="s">
        <v>191</v>
      </c>
      <c r="D10" s="144">
        <v>120</v>
      </c>
      <c r="E10" s="145" t="str">
        <f t="shared" si="0"/>
        <v>Sovran</v>
      </c>
      <c r="F10" s="145">
        <v>2</v>
      </c>
      <c r="G10" s="145" t="str">
        <f t="shared" si="1"/>
        <v>oz</v>
      </c>
      <c r="H10" s="146">
        <f t="shared" si="2"/>
        <v>5.0783333333333331</v>
      </c>
      <c r="I10" s="145" t="str">
        <f t="shared" si="3"/>
        <v>oz</v>
      </c>
      <c r="J10" s="144">
        <v>100</v>
      </c>
      <c r="K10" s="157">
        <f t="shared" si="4"/>
        <v>10.156666666666666</v>
      </c>
      <c r="L10" s="984" t="str">
        <f t="shared" si="5"/>
        <v>d</v>
      </c>
      <c r="M10" s="976">
        <f t="shared" si="7"/>
        <v>10.156666666666666</v>
      </c>
      <c r="N10" s="532">
        <f t="shared" si="6"/>
        <v>0</v>
      </c>
      <c r="O10" s="532">
        <f t="shared" si="6"/>
        <v>0</v>
      </c>
      <c r="P10" s="532">
        <f t="shared" si="6"/>
        <v>0</v>
      </c>
      <c r="Q10" s="974">
        <f t="shared" si="6"/>
        <v>0</v>
      </c>
    </row>
    <row r="11" spans="1:22" ht="15" customHeight="1">
      <c r="A11" s="962"/>
      <c r="B11" s="145"/>
      <c r="C11" s="145" t="s">
        <v>191</v>
      </c>
      <c r="D11" s="144">
        <v>56</v>
      </c>
      <c r="E11" s="145" t="str">
        <f t="shared" si="0"/>
        <v>Dithane</v>
      </c>
      <c r="F11" s="145">
        <v>3</v>
      </c>
      <c r="G11" s="145" t="str">
        <f t="shared" si="1"/>
        <v>lb</v>
      </c>
      <c r="H11" s="146">
        <f t="shared" si="2"/>
        <v>3.875</v>
      </c>
      <c r="I11" s="145" t="str">
        <f t="shared" si="3"/>
        <v>lb</v>
      </c>
      <c r="J11" s="144">
        <v>100</v>
      </c>
      <c r="K11" s="157">
        <f t="shared" si="4"/>
        <v>11.625</v>
      </c>
      <c r="L11" s="984" t="str">
        <f t="shared" si="5"/>
        <v>d</v>
      </c>
      <c r="M11" s="976">
        <f t="shared" si="7"/>
        <v>11.625</v>
      </c>
      <c r="N11" s="532">
        <f t="shared" si="6"/>
        <v>0</v>
      </c>
      <c r="O11" s="532">
        <f t="shared" si="6"/>
        <v>0</v>
      </c>
      <c r="P11" s="532">
        <f t="shared" si="6"/>
        <v>0</v>
      </c>
      <c r="Q11" s="974">
        <f t="shared" si="6"/>
        <v>0</v>
      </c>
    </row>
    <row r="12" spans="1:22" ht="15" customHeight="1">
      <c r="A12" s="156"/>
      <c r="B12" s="145"/>
      <c r="C12" s="145" t="s">
        <v>194</v>
      </c>
      <c r="D12" s="144">
        <v>14</v>
      </c>
      <c r="E12" s="145" t="str">
        <f t="shared" si="0"/>
        <v>Agri-Mycin 17</v>
      </c>
      <c r="F12" s="145">
        <f>VLOOKUP($D12,SprayCost,11)</f>
        <v>1.5</v>
      </c>
      <c r="G12" s="145" t="str">
        <f t="shared" si="1"/>
        <v>lb</v>
      </c>
      <c r="H12" s="146">
        <f t="shared" si="2"/>
        <v>15.255000000000001</v>
      </c>
      <c r="I12" s="145" t="str">
        <f t="shared" si="3"/>
        <v>lb</v>
      </c>
      <c r="J12" s="144">
        <v>100</v>
      </c>
      <c r="K12" s="157">
        <f t="shared" si="4"/>
        <v>22.8825</v>
      </c>
      <c r="L12" s="984" t="str">
        <f t="shared" si="5"/>
        <v>d</v>
      </c>
      <c r="M12" s="976">
        <f t="shared" si="7"/>
        <v>22.8825</v>
      </c>
      <c r="N12" s="532">
        <f t="shared" si="6"/>
        <v>0</v>
      </c>
      <c r="O12" s="532">
        <f t="shared" si="6"/>
        <v>0</v>
      </c>
      <c r="P12" s="532">
        <f t="shared" si="6"/>
        <v>0</v>
      </c>
      <c r="Q12" s="974">
        <f t="shared" si="6"/>
        <v>0</v>
      </c>
    </row>
    <row r="13" spans="1:22" ht="15" customHeight="1">
      <c r="A13" s="156"/>
      <c r="B13" s="145"/>
      <c r="C13" s="145" t="s">
        <v>194</v>
      </c>
      <c r="D13" s="144">
        <v>82</v>
      </c>
      <c r="E13" s="145" t="str">
        <f t="shared" si="0"/>
        <v>Mycoshield</v>
      </c>
      <c r="F13" s="145">
        <f>VLOOKUP($D13,SprayCost,11)</f>
        <v>1.5</v>
      </c>
      <c r="G13" s="145" t="str">
        <f t="shared" si="1"/>
        <v>lb</v>
      </c>
      <c r="H13" s="146">
        <f t="shared" si="2"/>
        <v>23.936666666666667</v>
      </c>
      <c r="I13" s="145" t="str">
        <f t="shared" si="3"/>
        <v>lb</v>
      </c>
      <c r="J13" s="144">
        <v>100</v>
      </c>
      <c r="K13" s="157">
        <f t="shared" si="4"/>
        <v>35.905000000000001</v>
      </c>
      <c r="L13" s="984" t="str">
        <f t="shared" si="5"/>
        <v>d</v>
      </c>
      <c r="M13" s="976">
        <f t="shared" si="7"/>
        <v>35.905000000000001</v>
      </c>
      <c r="N13" s="532">
        <f t="shared" si="6"/>
        <v>0</v>
      </c>
      <c r="O13" s="532">
        <f t="shared" si="6"/>
        <v>0</v>
      </c>
      <c r="P13" s="532">
        <f t="shared" si="6"/>
        <v>0</v>
      </c>
      <c r="Q13" s="974">
        <f t="shared" si="6"/>
        <v>0</v>
      </c>
    </row>
    <row r="14" spans="1:22" ht="15" customHeight="1">
      <c r="A14" s="156">
        <f>+A10+1</f>
        <v>6</v>
      </c>
      <c r="B14" s="145" t="s">
        <v>193</v>
      </c>
      <c r="C14" s="145" t="s">
        <v>191</v>
      </c>
      <c r="D14" s="144">
        <v>120</v>
      </c>
      <c r="E14" s="145" t="str">
        <f t="shared" si="0"/>
        <v>Sovran</v>
      </c>
      <c r="F14" s="145">
        <v>2</v>
      </c>
      <c r="G14" s="145" t="str">
        <f t="shared" si="1"/>
        <v>oz</v>
      </c>
      <c r="H14" s="146">
        <f t="shared" si="2"/>
        <v>5.0783333333333331</v>
      </c>
      <c r="I14" s="145" t="str">
        <f t="shared" si="3"/>
        <v>oz</v>
      </c>
      <c r="J14" s="144">
        <v>100</v>
      </c>
      <c r="K14" s="157">
        <f t="shared" si="4"/>
        <v>10.156666666666666</v>
      </c>
      <c r="L14" s="984" t="str">
        <f t="shared" si="5"/>
        <v>d</v>
      </c>
      <c r="M14" s="976">
        <f t="shared" si="7"/>
        <v>10.156666666666666</v>
      </c>
      <c r="N14" s="532">
        <f t="shared" si="6"/>
        <v>0</v>
      </c>
      <c r="O14" s="532">
        <f t="shared" si="6"/>
        <v>0</v>
      </c>
      <c r="P14" s="532">
        <f t="shared" si="6"/>
        <v>0</v>
      </c>
      <c r="Q14" s="974">
        <f t="shared" si="6"/>
        <v>0</v>
      </c>
    </row>
    <row r="15" spans="1:22" ht="15" customHeight="1">
      <c r="A15" s="156"/>
      <c r="B15" s="145"/>
      <c r="C15" s="145" t="s">
        <v>191</v>
      </c>
      <c r="D15" s="144">
        <v>56</v>
      </c>
      <c r="E15" s="145" t="str">
        <f t="shared" si="0"/>
        <v>Dithane</v>
      </c>
      <c r="F15" s="145">
        <v>3</v>
      </c>
      <c r="G15" s="145" t="str">
        <f t="shared" si="1"/>
        <v>lb</v>
      </c>
      <c r="H15" s="146">
        <f t="shared" si="2"/>
        <v>3.875</v>
      </c>
      <c r="I15" s="145" t="str">
        <f t="shared" si="3"/>
        <v>lb</v>
      </c>
      <c r="J15" s="144">
        <v>100</v>
      </c>
      <c r="K15" s="157">
        <f t="shared" si="4"/>
        <v>11.625</v>
      </c>
      <c r="L15" s="984" t="str">
        <f t="shared" si="5"/>
        <v>d</v>
      </c>
      <c r="M15" s="976">
        <f t="shared" si="7"/>
        <v>11.625</v>
      </c>
      <c r="N15" s="532">
        <f t="shared" si="6"/>
        <v>0</v>
      </c>
      <c r="O15" s="532">
        <f t="shared" si="6"/>
        <v>0</v>
      </c>
      <c r="P15" s="532">
        <f t="shared" si="6"/>
        <v>0</v>
      </c>
      <c r="Q15" s="974">
        <f t="shared" si="6"/>
        <v>0</v>
      </c>
    </row>
    <row r="16" spans="1:22" ht="15" customHeight="1">
      <c r="A16" s="962"/>
      <c r="B16" s="145"/>
      <c r="C16" s="145" t="s">
        <v>194</v>
      </c>
      <c r="D16" s="144">
        <v>14</v>
      </c>
      <c r="E16" s="145" t="str">
        <f t="shared" si="0"/>
        <v>Agri-Mycin 17</v>
      </c>
      <c r="F16" s="145">
        <f>VLOOKUP($D16,SprayCost,11)</f>
        <v>1.5</v>
      </c>
      <c r="G16" s="145" t="str">
        <f t="shared" si="1"/>
        <v>lb</v>
      </c>
      <c r="H16" s="146">
        <f t="shared" si="2"/>
        <v>15.255000000000001</v>
      </c>
      <c r="I16" s="145" t="str">
        <f t="shared" si="3"/>
        <v>lb</v>
      </c>
      <c r="J16" s="144">
        <v>100</v>
      </c>
      <c r="K16" s="157">
        <f t="shared" si="4"/>
        <v>22.8825</v>
      </c>
      <c r="L16" s="984" t="str">
        <f t="shared" si="5"/>
        <v>d</v>
      </c>
      <c r="M16" s="976">
        <f t="shared" si="7"/>
        <v>22.8825</v>
      </c>
      <c r="N16" s="532">
        <f t="shared" si="6"/>
        <v>0</v>
      </c>
      <c r="O16" s="532">
        <f t="shared" si="6"/>
        <v>0</v>
      </c>
      <c r="P16" s="532">
        <f t="shared" si="6"/>
        <v>0</v>
      </c>
      <c r="Q16" s="974">
        <f t="shared" si="6"/>
        <v>0</v>
      </c>
    </row>
    <row r="17" spans="1:17" ht="15" customHeight="1">
      <c r="A17" s="156"/>
      <c r="B17" s="145"/>
      <c r="C17" s="145" t="s">
        <v>194</v>
      </c>
      <c r="D17" s="144">
        <v>82</v>
      </c>
      <c r="E17" s="145" t="str">
        <f t="shared" si="0"/>
        <v>Mycoshield</v>
      </c>
      <c r="F17" s="145">
        <f>VLOOKUP($D17,SprayCost,11)</f>
        <v>1.5</v>
      </c>
      <c r="G17" s="145" t="str">
        <f t="shared" si="1"/>
        <v>lb</v>
      </c>
      <c r="H17" s="146">
        <f t="shared" si="2"/>
        <v>23.936666666666667</v>
      </c>
      <c r="I17" s="145" t="str">
        <f t="shared" si="3"/>
        <v>lb</v>
      </c>
      <c r="J17" s="144">
        <v>100</v>
      </c>
      <c r="K17" s="157">
        <f t="shared" si="4"/>
        <v>35.905000000000001</v>
      </c>
      <c r="L17" s="984" t="str">
        <f t="shared" si="5"/>
        <v>d</v>
      </c>
      <c r="M17" s="976">
        <f t="shared" si="7"/>
        <v>35.905000000000001</v>
      </c>
      <c r="N17" s="532">
        <f t="shared" si="6"/>
        <v>0</v>
      </c>
      <c r="O17" s="532">
        <f t="shared" si="6"/>
        <v>0</v>
      </c>
      <c r="P17" s="532">
        <f t="shared" si="6"/>
        <v>0</v>
      </c>
      <c r="Q17" s="974">
        <f t="shared" si="6"/>
        <v>0</v>
      </c>
    </row>
    <row r="18" spans="1:17" ht="15" customHeight="1">
      <c r="A18" s="156"/>
      <c r="B18" s="145" t="s">
        <v>597</v>
      </c>
      <c r="C18" s="145" t="s">
        <v>596</v>
      </c>
      <c r="D18" s="144">
        <v>74</v>
      </c>
      <c r="E18" s="145" t="str">
        <f t="shared" si="0"/>
        <v>Isomate C+</v>
      </c>
      <c r="F18" s="145">
        <v>250</v>
      </c>
      <c r="G18" s="145" t="str">
        <f t="shared" si="1"/>
        <v>ea</v>
      </c>
      <c r="H18" s="146">
        <f t="shared" si="2"/>
        <v>0.26750000000000002</v>
      </c>
      <c r="I18" s="145" t="str">
        <f t="shared" si="3"/>
        <v>ea</v>
      </c>
      <c r="J18" s="144">
        <v>100</v>
      </c>
      <c r="K18" s="157">
        <f t="shared" si="4"/>
        <v>66.875</v>
      </c>
      <c r="L18" s="984" t="str">
        <f t="shared" si="5"/>
        <v>i</v>
      </c>
      <c r="M18" s="976">
        <f t="shared" si="7"/>
        <v>0</v>
      </c>
      <c r="N18" s="532">
        <f t="shared" si="6"/>
        <v>66.875</v>
      </c>
      <c r="O18" s="532">
        <f t="shared" si="6"/>
        <v>0</v>
      </c>
      <c r="P18" s="532">
        <f t="shared" si="6"/>
        <v>0</v>
      </c>
      <c r="Q18" s="974">
        <f t="shared" si="6"/>
        <v>0</v>
      </c>
    </row>
    <row r="19" spans="1:17" ht="15" customHeight="1">
      <c r="A19" s="156">
        <f>+A14+1</f>
        <v>7</v>
      </c>
      <c r="B19" s="145" t="s">
        <v>592</v>
      </c>
      <c r="C19" s="145" t="s">
        <v>194</v>
      </c>
      <c r="D19" s="144">
        <v>14</v>
      </c>
      <c r="E19" s="145" t="str">
        <f t="shared" si="0"/>
        <v>Agri-Mycin 17</v>
      </c>
      <c r="F19" s="145">
        <f>VLOOKUP($D19,SprayCost,11)</f>
        <v>1.5</v>
      </c>
      <c r="G19" s="145" t="str">
        <f t="shared" si="1"/>
        <v>lb</v>
      </c>
      <c r="H19" s="146">
        <f t="shared" si="2"/>
        <v>15.255000000000001</v>
      </c>
      <c r="I19" s="145" t="str">
        <f t="shared" si="3"/>
        <v>lb</v>
      </c>
      <c r="J19" s="144">
        <v>100</v>
      </c>
      <c r="K19" s="157">
        <f t="shared" si="4"/>
        <v>22.8825</v>
      </c>
      <c r="L19" s="984" t="str">
        <f t="shared" si="5"/>
        <v>d</v>
      </c>
      <c r="M19" s="976">
        <f t="shared" si="7"/>
        <v>22.8825</v>
      </c>
      <c r="N19" s="532">
        <f t="shared" si="6"/>
        <v>0</v>
      </c>
      <c r="O19" s="532">
        <f t="shared" si="6"/>
        <v>0</v>
      </c>
      <c r="P19" s="532">
        <f t="shared" si="6"/>
        <v>0</v>
      </c>
      <c r="Q19" s="974">
        <f t="shared" si="6"/>
        <v>0</v>
      </c>
    </row>
    <row r="20" spans="1:17" ht="15" customHeight="1">
      <c r="A20" s="156"/>
      <c r="B20" s="145"/>
      <c r="C20" s="145" t="s">
        <v>194</v>
      </c>
      <c r="D20" s="144">
        <v>82</v>
      </c>
      <c r="E20" s="145" t="str">
        <f t="shared" si="0"/>
        <v>Mycoshield</v>
      </c>
      <c r="F20" s="145">
        <f>VLOOKUP($D20,SprayCost,11)</f>
        <v>1.5</v>
      </c>
      <c r="G20" s="145" t="str">
        <f t="shared" si="1"/>
        <v>lb</v>
      </c>
      <c r="H20" s="146">
        <f t="shared" si="2"/>
        <v>23.936666666666667</v>
      </c>
      <c r="I20" s="145" t="str">
        <f t="shared" si="3"/>
        <v>lb</v>
      </c>
      <c r="J20" s="144">
        <v>100</v>
      </c>
      <c r="K20" s="157">
        <f t="shared" si="4"/>
        <v>35.905000000000001</v>
      </c>
      <c r="L20" s="984" t="str">
        <f t="shared" si="5"/>
        <v>d</v>
      </c>
      <c r="M20" s="976">
        <f t="shared" ref="M20:Q35" si="8">IF($L20=M$1,$K20,0)</f>
        <v>35.905000000000001</v>
      </c>
      <c r="N20" s="532">
        <f t="shared" si="6"/>
        <v>0</v>
      </c>
      <c r="O20" s="532">
        <f t="shared" si="6"/>
        <v>0</v>
      </c>
      <c r="P20" s="532">
        <f t="shared" si="6"/>
        <v>0</v>
      </c>
      <c r="Q20" s="974">
        <f t="shared" si="6"/>
        <v>0</v>
      </c>
    </row>
    <row r="21" spans="1:17" ht="15" customHeight="1">
      <c r="A21" s="156"/>
      <c r="B21" s="145"/>
      <c r="C21" s="145" t="s">
        <v>593</v>
      </c>
      <c r="D21" s="144">
        <v>21</v>
      </c>
      <c r="E21" s="145" t="str">
        <f t="shared" si="0"/>
        <v>Apogee</v>
      </c>
      <c r="F21" s="145">
        <v>10</v>
      </c>
      <c r="G21" s="145" t="str">
        <f t="shared" si="1"/>
        <v>oz</v>
      </c>
      <c r="H21" s="146">
        <f t="shared" si="2"/>
        <v>3.3931249999999999</v>
      </c>
      <c r="I21" s="145" t="str">
        <f t="shared" si="3"/>
        <v>oz</v>
      </c>
      <c r="J21" s="144">
        <v>100</v>
      </c>
      <c r="K21" s="157">
        <f t="shared" si="4"/>
        <v>33.931249999999999</v>
      </c>
      <c r="L21" s="984" t="str">
        <f t="shared" si="5"/>
        <v>pgr</v>
      </c>
      <c r="M21" s="976">
        <f t="shared" si="8"/>
        <v>0</v>
      </c>
      <c r="N21" s="532">
        <f t="shared" si="6"/>
        <v>0</v>
      </c>
      <c r="O21" s="532">
        <f t="shared" si="6"/>
        <v>33.931249999999999</v>
      </c>
      <c r="P21" s="532">
        <f t="shared" si="6"/>
        <v>0</v>
      </c>
      <c r="Q21" s="974">
        <f t="shared" si="6"/>
        <v>0</v>
      </c>
    </row>
    <row r="22" spans="1:17" ht="15" customHeight="1">
      <c r="A22" s="156">
        <f>+A19+1</f>
        <v>8</v>
      </c>
      <c r="B22" s="145" t="s">
        <v>195</v>
      </c>
      <c r="C22" s="145" t="s">
        <v>194</v>
      </c>
      <c r="D22" s="144">
        <v>56</v>
      </c>
      <c r="E22" s="145" t="str">
        <f t="shared" si="0"/>
        <v>Dithane</v>
      </c>
      <c r="F22" s="145">
        <f>VLOOKUP($D22,SprayCost,11)</f>
        <v>6</v>
      </c>
      <c r="G22" s="145" t="str">
        <f t="shared" si="1"/>
        <v>lb</v>
      </c>
      <c r="H22" s="146">
        <f t="shared" si="2"/>
        <v>3.875</v>
      </c>
      <c r="I22" s="145" t="str">
        <f t="shared" si="3"/>
        <v>lb</v>
      </c>
      <c r="J22" s="144">
        <v>100</v>
      </c>
      <c r="K22" s="157">
        <f t="shared" si="4"/>
        <v>23.25</v>
      </c>
      <c r="L22" s="984" t="str">
        <f t="shared" si="5"/>
        <v>d</v>
      </c>
      <c r="M22" s="976">
        <f t="shared" si="8"/>
        <v>23.25</v>
      </c>
      <c r="N22" s="532">
        <f t="shared" si="6"/>
        <v>0</v>
      </c>
      <c r="O22" s="532">
        <f t="shared" si="6"/>
        <v>0</v>
      </c>
      <c r="P22" s="532">
        <f t="shared" si="6"/>
        <v>0</v>
      </c>
      <c r="Q22" s="974">
        <f t="shared" si="6"/>
        <v>0</v>
      </c>
    </row>
    <row r="23" spans="1:17" ht="15" customHeight="1">
      <c r="A23" s="156"/>
      <c r="B23" s="145"/>
      <c r="C23" s="145" t="s">
        <v>594</v>
      </c>
      <c r="D23" s="144">
        <v>78</v>
      </c>
      <c r="E23" s="145" t="str">
        <f t="shared" si="0"/>
        <v>Lorsban 75 WDG</v>
      </c>
      <c r="F23" s="145">
        <f>VLOOKUP($D23,SprayCost,11)</f>
        <v>1.33</v>
      </c>
      <c r="G23" s="145" t="str">
        <f t="shared" si="1"/>
        <v>lb</v>
      </c>
      <c r="H23" s="146">
        <f t="shared" si="2"/>
        <v>15.483333333333334</v>
      </c>
      <c r="I23" s="145" t="str">
        <f t="shared" si="3"/>
        <v>lb</v>
      </c>
      <c r="J23" s="144">
        <v>100</v>
      </c>
      <c r="K23" s="157">
        <f t="shared" si="4"/>
        <v>20.592833333333335</v>
      </c>
      <c r="L23" s="984" t="str">
        <f t="shared" si="5"/>
        <v>i</v>
      </c>
      <c r="M23" s="976">
        <f t="shared" si="8"/>
        <v>0</v>
      </c>
      <c r="N23" s="532">
        <f t="shared" si="8"/>
        <v>20.592833333333335</v>
      </c>
      <c r="O23" s="532">
        <f t="shared" si="8"/>
        <v>0</v>
      </c>
      <c r="P23" s="532">
        <f t="shared" si="8"/>
        <v>0</v>
      </c>
      <c r="Q23" s="974">
        <f t="shared" si="8"/>
        <v>0</v>
      </c>
    </row>
    <row r="24" spans="1:17" ht="15" customHeight="1">
      <c r="A24" s="156"/>
      <c r="B24" s="145"/>
      <c r="C24" s="145" t="s">
        <v>595</v>
      </c>
      <c r="D24" s="144">
        <v>13</v>
      </c>
      <c r="E24" s="145" t="str">
        <f t="shared" si="0"/>
        <v>Agrimek</v>
      </c>
      <c r="F24" s="145">
        <f>VLOOKUP($D24,SprayCost,11)</f>
        <v>10</v>
      </c>
      <c r="G24" s="145" t="str">
        <f t="shared" si="1"/>
        <v>oz</v>
      </c>
      <c r="H24" s="146">
        <f t="shared" si="2"/>
        <v>3.96578125</v>
      </c>
      <c r="I24" s="145" t="str">
        <f t="shared" si="3"/>
        <v>oz</v>
      </c>
      <c r="J24" s="144">
        <v>100</v>
      </c>
      <c r="K24" s="157">
        <f t="shared" si="4"/>
        <v>39.657812499999999</v>
      </c>
      <c r="L24" s="984" t="str">
        <f t="shared" si="5"/>
        <v>i</v>
      </c>
      <c r="M24" s="976">
        <f t="shared" si="8"/>
        <v>0</v>
      </c>
      <c r="N24" s="532">
        <f t="shared" si="8"/>
        <v>39.657812499999999</v>
      </c>
      <c r="O24" s="532">
        <f t="shared" si="8"/>
        <v>0</v>
      </c>
      <c r="P24" s="532">
        <f t="shared" si="8"/>
        <v>0</v>
      </c>
      <c r="Q24" s="974">
        <f t="shared" si="8"/>
        <v>0</v>
      </c>
    </row>
    <row r="25" spans="1:17" ht="15" customHeight="1">
      <c r="A25" s="156"/>
      <c r="B25" s="145"/>
      <c r="C25" s="145" t="s">
        <v>595</v>
      </c>
      <c r="D25" s="144">
        <v>32</v>
      </c>
      <c r="E25" s="145" t="str">
        <f t="shared" si="0"/>
        <v>Oil</v>
      </c>
      <c r="F25" s="145">
        <v>0.25</v>
      </c>
      <c r="G25" s="145" t="str">
        <f t="shared" si="1"/>
        <v>gal</v>
      </c>
      <c r="H25" s="146">
        <f t="shared" si="2"/>
        <v>6.95</v>
      </c>
      <c r="I25" s="145" t="str">
        <f t="shared" si="3"/>
        <v>gal</v>
      </c>
      <c r="J25" s="144">
        <v>100</v>
      </c>
      <c r="K25" s="157">
        <f t="shared" si="4"/>
        <v>1.7375</v>
      </c>
      <c r="L25" s="984" t="str">
        <f t="shared" si="5"/>
        <v>i</v>
      </c>
      <c r="M25" s="976">
        <f t="shared" si="8"/>
        <v>0</v>
      </c>
      <c r="N25" s="532">
        <f t="shared" si="8"/>
        <v>1.7375</v>
      </c>
      <c r="O25" s="532">
        <f t="shared" si="8"/>
        <v>0</v>
      </c>
      <c r="P25" s="532">
        <f t="shared" si="8"/>
        <v>0</v>
      </c>
      <c r="Q25" s="974">
        <f t="shared" si="8"/>
        <v>0</v>
      </c>
    </row>
    <row r="26" spans="1:17" ht="15" customHeight="1">
      <c r="A26" s="156">
        <f>+A22+1</f>
        <v>9</v>
      </c>
      <c r="B26" s="145" t="s">
        <v>205</v>
      </c>
      <c r="C26" s="145" t="s">
        <v>206</v>
      </c>
      <c r="D26" s="144">
        <v>103</v>
      </c>
      <c r="E26" s="145" t="str">
        <f t="shared" si="0"/>
        <v>Rimon</v>
      </c>
      <c r="F26" s="145">
        <f t="shared" ref="F26:F33" si="9">VLOOKUP($D26,SprayCost,11)</f>
        <v>20</v>
      </c>
      <c r="G26" s="145" t="str">
        <f t="shared" si="1"/>
        <v>oz</v>
      </c>
      <c r="H26" s="146">
        <f t="shared" si="2"/>
        <v>1.5553906249999998</v>
      </c>
      <c r="I26" s="145" t="str">
        <f t="shared" si="3"/>
        <v>oz</v>
      </c>
      <c r="J26" s="144">
        <v>100</v>
      </c>
      <c r="K26" s="157">
        <f t="shared" si="4"/>
        <v>31.107812499999998</v>
      </c>
      <c r="L26" s="984" t="str">
        <f t="shared" si="5"/>
        <v>i</v>
      </c>
      <c r="M26" s="976">
        <f t="shared" si="8"/>
        <v>0</v>
      </c>
      <c r="N26" s="532">
        <f t="shared" si="8"/>
        <v>31.107812499999998</v>
      </c>
      <c r="O26" s="532">
        <f t="shared" si="8"/>
        <v>0</v>
      </c>
      <c r="P26" s="532">
        <f t="shared" si="8"/>
        <v>0</v>
      </c>
      <c r="Q26" s="974">
        <f t="shared" si="8"/>
        <v>0</v>
      </c>
    </row>
    <row r="27" spans="1:17" ht="15" customHeight="1">
      <c r="A27" s="156"/>
      <c r="B27" s="145"/>
      <c r="C27" s="145" t="s">
        <v>599</v>
      </c>
      <c r="D27" s="144">
        <v>38</v>
      </c>
      <c r="E27" s="145" t="str">
        <f t="shared" si="0"/>
        <v>Captan 50W</v>
      </c>
      <c r="F27" s="145">
        <f t="shared" si="9"/>
        <v>6</v>
      </c>
      <c r="G27" s="145" t="str">
        <f t="shared" si="1"/>
        <v>lb</v>
      </c>
      <c r="H27" s="146">
        <f t="shared" si="2"/>
        <v>3.4033333333333329</v>
      </c>
      <c r="I27" s="145" t="str">
        <f t="shared" si="3"/>
        <v>lb</v>
      </c>
      <c r="J27" s="144">
        <v>100</v>
      </c>
      <c r="K27" s="157">
        <f t="shared" si="4"/>
        <v>20.419999999999998</v>
      </c>
      <c r="L27" s="984" t="str">
        <f t="shared" si="5"/>
        <v>d</v>
      </c>
      <c r="M27" s="976">
        <f t="shared" si="8"/>
        <v>20.419999999999998</v>
      </c>
      <c r="N27" s="532">
        <f t="shared" si="8"/>
        <v>0</v>
      </c>
      <c r="O27" s="532">
        <f t="shared" si="8"/>
        <v>0</v>
      </c>
      <c r="P27" s="532">
        <f t="shared" si="8"/>
        <v>0</v>
      </c>
      <c r="Q27" s="974">
        <f t="shared" si="8"/>
        <v>0</v>
      </c>
    </row>
    <row r="28" spans="1:17" ht="15" customHeight="1">
      <c r="A28" s="156">
        <f>+A26+1</f>
        <v>10</v>
      </c>
      <c r="B28" s="145" t="s">
        <v>208</v>
      </c>
      <c r="C28" s="145" t="s">
        <v>598</v>
      </c>
      <c r="D28" s="144">
        <v>115</v>
      </c>
      <c r="E28" s="145" t="str">
        <f t="shared" si="0"/>
        <v>Sevin XLR</v>
      </c>
      <c r="F28" s="145">
        <f t="shared" si="9"/>
        <v>1</v>
      </c>
      <c r="G28" s="145" t="str">
        <f t="shared" si="1"/>
        <v>qt</v>
      </c>
      <c r="H28" s="146">
        <f t="shared" si="2"/>
        <v>3.9375</v>
      </c>
      <c r="I28" s="145" t="str">
        <f t="shared" si="3"/>
        <v>qt</v>
      </c>
      <c r="J28" s="144">
        <v>20</v>
      </c>
      <c r="K28" s="157">
        <f t="shared" si="4"/>
        <v>0.78749999999999998</v>
      </c>
      <c r="L28" s="984" t="str">
        <f t="shared" si="5"/>
        <v>pgr</v>
      </c>
      <c r="M28" s="976">
        <f t="shared" si="8"/>
        <v>0</v>
      </c>
      <c r="N28" s="532">
        <f t="shared" si="8"/>
        <v>0</v>
      </c>
      <c r="O28" s="532">
        <f t="shared" si="8"/>
        <v>0.78749999999999998</v>
      </c>
      <c r="P28" s="532">
        <f t="shared" si="8"/>
        <v>0</v>
      </c>
      <c r="Q28" s="974">
        <f t="shared" si="8"/>
        <v>0</v>
      </c>
    </row>
    <row r="29" spans="1:17" ht="15" customHeight="1">
      <c r="A29" s="156"/>
      <c r="B29" s="145"/>
      <c r="C29" s="145" t="s">
        <v>598</v>
      </c>
      <c r="D29" s="144">
        <v>80</v>
      </c>
      <c r="E29" s="145" t="str">
        <f t="shared" si="0"/>
        <v>Maxcel</v>
      </c>
      <c r="F29" s="145">
        <f t="shared" si="9"/>
        <v>2</v>
      </c>
      <c r="G29" s="145" t="str">
        <f t="shared" si="1"/>
        <v>qt</v>
      </c>
      <c r="H29" s="146">
        <f t="shared" si="2"/>
        <v>27.5</v>
      </c>
      <c r="I29" s="145" t="str">
        <f t="shared" si="3"/>
        <v>qt</v>
      </c>
      <c r="J29" s="144">
        <v>20</v>
      </c>
      <c r="K29" s="157">
        <f t="shared" si="4"/>
        <v>11</v>
      </c>
      <c r="L29" s="984" t="str">
        <f t="shared" si="5"/>
        <v>pgr</v>
      </c>
      <c r="M29" s="976">
        <f t="shared" si="8"/>
        <v>0</v>
      </c>
      <c r="N29" s="532">
        <f t="shared" si="8"/>
        <v>0</v>
      </c>
      <c r="O29" s="532">
        <f t="shared" si="8"/>
        <v>11</v>
      </c>
      <c r="P29" s="532">
        <f t="shared" si="8"/>
        <v>0</v>
      </c>
      <c r="Q29" s="974">
        <f t="shared" si="8"/>
        <v>0</v>
      </c>
    </row>
    <row r="30" spans="1:17" ht="15" customHeight="1">
      <c r="A30" s="156">
        <f>+A28+1</f>
        <v>11</v>
      </c>
      <c r="B30" s="145" t="s">
        <v>208</v>
      </c>
      <c r="C30" s="145" t="s">
        <v>598</v>
      </c>
      <c r="D30" s="144">
        <v>115</v>
      </c>
      <c r="E30" s="145" t="str">
        <f t="shared" si="0"/>
        <v>Sevin XLR</v>
      </c>
      <c r="F30" s="145">
        <f t="shared" si="9"/>
        <v>1</v>
      </c>
      <c r="G30" s="145" t="str">
        <f t="shared" si="1"/>
        <v>qt</v>
      </c>
      <c r="H30" s="146">
        <f t="shared" si="2"/>
        <v>3.9375</v>
      </c>
      <c r="I30" s="145" t="str">
        <f t="shared" si="3"/>
        <v>qt</v>
      </c>
      <c r="J30" s="144">
        <v>40</v>
      </c>
      <c r="K30" s="157">
        <f t="shared" si="4"/>
        <v>1.575</v>
      </c>
      <c r="L30" s="984" t="str">
        <f t="shared" si="5"/>
        <v>pgr</v>
      </c>
      <c r="M30" s="976">
        <f t="shared" si="8"/>
        <v>0</v>
      </c>
      <c r="N30" s="532">
        <f t="shared" si="8"/>
        <v>0</v>
      </c>
      <c r="O30" s="532">
        <f t="shared" si="8"/>
        <v>1.575</v>
      </c>
      <c r="P30" s="532">
        <f t="shared" si="8"/>
        <v>0</v>
      </c>
      <c r="Q30" s="974">
        <f t="shared" si="8"/>
        <v>0</v>
      </c>
    </row>
    <row r="31" spans="1:17" ht="15" customHeight="1">
      <c r="A31" s="156"/>
      <c r="B31" s="145"/>
      <c r="C31" s="145" t="s">
        <v>598</v>
      </c>
      <c r="D31" s="144">
        <v>65</v>
      </c>
      <c r="E31" s="145" t="str">
        <f t="shared" si="0"/>
        <v>Fruitone N</v>
      </c>
      <c r="F31" s="145">
        <f t="shared" si="9"/>
        <v>4</v>
      </c>
      <c r="G31" s="145" t="str">
        <f t="shared" si="1"/>
        <v>oz</v>
      </c>
      <c r="H31" s="146">
        <f t="shared" si="2"/>
        <v>2.605</v>
      </c>
      <c r="I31" s="145" t="str">
        <f t="shared" si="3"/>
        <v>oz</v>
      </c>
      <c r="J31" s="144">
        <v>40</v>
      </c>
      <c r="K31" s="157">
        <f t="shared" si="4"/>
        <v>4.1680000000000001</v>
      </c>
      <c r="L31" s="984" t="str">
        <f t="shared" si="5"/>
        <v>pgr</v>
      </c>
      <c r="M31" s="976">
        <f t="shared" si="8"/>
        <v>0</v>
      </c>
      <c r="N31" s="532">
        <f t="shared" si="8"/>
        <v>0</v>
      </c>
      <c r="O31" s="532">
        <f t="shared" si="8"/>
        <v>4.1680000000000001</v>
      </c>
      <c r="P31" s="532">
        <f t="shared" si="8"/>
        <v>0</v>
      </c>
      <c r="Q31" s="974">
        <f t="shared" si="8"/>
        <v>0</v>
      </c>
    </row>
    <row r="32" spans="1:17" ht="15" customHeight="1">
      <c r="A32" s="156">
        <f>+A30+1</f>
        <v>12</v>
      </c>
      <c r="B32" s="145" t="s">
        <v>210</v>
      </c>
      <c r="C32" s="145" t="s">
        <v>211</v>
      </c>
      <c r="D32" s="144">
        <v>103</v>
      </c>
      <c r="E32" s="145" t="str">
        <f t="shared" si="0"/>
        <v>Rimon</v>
      </c>
      <c r="F32" s="145">
        <f t="shared" si="9"/>
        <v>20</v>
      </c>
      <c r="G32" s="145" t="str">
        <f t="shared" si="1"/>
        <v>oz</v>
      </c>
      <c r="H32" s="146">
        <f t="shared" si="2"/>
        <v>1.5553906249999998</v>
      </c>
      <c r="I32" s="145" t="str">
        <f t="shared" si="3"/>
        <v>oz</v>
      </c>
      <c r="J32" s="144">
        <v>100</v>
      </c>
      <c r="K32" s="157">
        <f t="shared" si="4"/>
        <v>31.107812499999998</v>
      </c>
      <c r="L32" s="984" t="str">
        <f t="shared" si="5"/>
        <v>i</v>
      </c>
      <c r="M32" s="976">
        <f t="shared" si="8"/>
        <v>0</v>
      </c>
      <c r="N32" s="532">
        <f t="shared" si="8"/>
        <v>31.107812499999998</v>
      </c>
      <c r="O32" s="532">
        <f t="shared" si="8"/>
        <v>0</v>
      </c>
      <c r="P32" s="532">
        <f t="shared" si="8"/>
        <v>0</v>
      </c>
      <c r="Q32" s="974">
        <f t="shared" si="8"/>
        <v>0</v>
      </c>
    </row>
    <row r="33" spans="1:17" ht="15" customHeight="1">
      <c r="A33" s="156"/>
      <c r="B33" s="145"/>
      <c r="C33" s="145"/>
      <c r="D33" s="144">
        <v>38</v>
      </c>
      <c r="E33" s="145" t="str">
        <f t="shared" si="0"/>
        <v>Captan 50W</v>
      </c>
      <c r="F33" s="145">
        <f t="shared" si="9"/>
        <v>6</v>
      </c>
      <c r="G33" s="145" t="str">
        <f t="shared" si="1"/>
        <v>lb</v>
      </c>
      <c r="H33" s="146">
        <f t="shared" si="2"/>
        <v>3.4033333333333329</v>
      </c>
      <c r="I33" s="145" t="str">
        <f t="shared" si="3"/>
        <v>lb</v>
      </c>
      <c r="J33" s="144">
        <v>100</v>
      </c>
      <c r="K33" s="157">
        <f t="shared" si="4"/>
        <v>20.419999999999998</v>
      </c>
      <c r="L33" s="984" t="str">
        <f t="shared" si="5"/>
        <v>d</v>
      </c>
      <c r="M33" s="976">
        <f t="shared" si="8"/>
        <v>20.419999999999998</v>
      </c>
      <c r="N33" s="532">
        <f t="shared" si="8"/>
        <v>0</v>
      </c>
      <c r="O33" s="532">
        <f t="shared" si="8"/>
        <v>0</v>
      </c>
      <c r="P33" s="532">
        <f t="shared" si="8"/>
        <v>0</v>
      </c>
      <c r="Q33" s="974">
        <f t="shared" si="8"/>
        <v>0</v>
      </c>
    </row>
    <row r="34" spans="1:17" ht="15" customHeight="1">
      <c r="A34" s="156">
        <f>+A32+1</f>
        <v>13</v>
      </c>
      <c r="B34" s="145" t="s">
        <v>212</v>
      </c>
      <c r="C34" s="145" t="s">
        <v>599</v>
      </c>
      <c r="D34" s="144">
        <v>38</v>
      </c>
      <c r="E34" s="145" t="str">
        <f t="shared" si="0"/>
        <v>Captan 50W</v>
      </c>
      <c r="F34" s="145">
        <v>3</v>
      </c>
      <c r="G34" s="145" t="str">
        <f t="shared" si="1"/>
        <v>lb</v>
      </c>
      <c r="H34" s="146">
        <f t="shared" si="2"/>
        <v>3.4033333333333329</v>
      </c>
      <c r="I34" s="145" t="str">
        <f t="shared" si="3"/>
        <v>lb</v>
      </c>
      <c r="J34" s="144">
        <v>100</v>
      </c>
      <c r="K34" s="157">
        <f t="shared" si="4"/>
        <v>10.209999999999999</v>
      </c>
      <c r="L34" s="984" t="str">
        <f t="shared" si="5"/>
        <v>d</v>
      </c>
      <c r="M34" s="976">
        <f t="shared" si="8"/>
        <v>10.209999999999999</v>
      </c>
      <c r="N34" s="532">
        <f t="shared" si="8"/>
        <v>0</v>
      </c>
      <c r="O34" s="532">
        <f t="shared" si="8"/>
        <v>0</v>
      </c>
      <c r="P34" s="532">
        <f t="shared" si="8"/>
        <v>0</v>
      </c>
      <c r="Q34" s="974">
        <f t="shared" si="8"/>
        <v>0</v>
      </c>
    </row>
    <row r="35" spans="1:17" ht="15" customHeight="1">
      <c r="A35" s="156"/>
      <c r="B35" s="145"/>
      <c r="C35" s="145" t="s">
        <v>599</v>
      </c>
      <c r="D35" s="144">
        <v>84</v>
      </c>
      <c r="E35" s="145" t="str">
        <f t="shared" si="0"/>
        <v>Nova</v>
      </c>
      <c r="F35" s="145">
        <f>VLOOKUP($D35,SprayCost,11)</f>
        <v>3</v>
      </c>
      <c r="G35" s="145" t="str">
        <f t="shared" si="1"/>
        <v>oz</v>
      </c>
      <c r="H35" s="146">
        <f t="shared" si="2"/>
        <v>4.2</v>
      </c>
      <c r="I35" s="145" t="str">
        <f t="shared" si="3"/>
        <v>oz</v>
      </c>
      <c r="J35" s="144">
        <v>100</v>
      </c>
      <c r="K35" s="157">
        <f t="shared" si="4"/>
        <v>12.600000000000003</v>
      </c>
      <c r="L35" s="984" t="str">
        <f t="shared" si="5"/>
        <v>d</v>
      </c>
      <c r="M35" s="976">
        <f t="shared" si="8"/>
        <v>12.600000000000003</v>
      </c>
      <c r="N35" s="532">
        <f t="shared" si="8"/>
        <v>0</v>
      </c>
      <c r="O35" s="532">
        <f t="shared" si="8"/>
        <v>0</v>
      </c>
      <c r="P35" s="532">
        <f t="shared" si="8"/>
        <v>0</v>
      </c>
      <c r="Q35" s="974">
        <f t="shared" si="8"/>
        <v>0</v>
      </c>
    </row>
    <row r="36" spans="1:17" ht="15" customHeight="1">
      <c r="A36" s="156"/>
      <c r="B36" s="145"/>
      <c r="C36" s="145"/>
      <c r="D36" s="144">
        <v>95</v>
      </c>
      <c r="E36" s="145" t="str">
        <f t="shared" si="0"/>
        <v>Proclaim</v>
      </c>
      <c r="F36" s="145">
        <f>VLOOKUP($D36,SprayCost,11)</f>
        <v>4.8</v>
      </c>
      <c r="G36" s="145" t="str">
        <f t="shared" si="1"/>
        <v>oz</v>
      </c>
      <c r="H36" s="146">
        <f t="shared" si="2"/>
        <v>7.0958333333333341</v>
      </c>
      <c r="I36" s="145" t="str">
        <f t="shared" si="3"/>
        <v>oz</v>
      </c>
      <c r="J36" s="144">
        <v>100</v>
      </c>
      <c r="K36" s="157">
        <f t="shared" si="4"/>
        <v>34.06</v>
      </c>
      <c r="L36" s="984" t="str">
        <f t="shared" si="5"/>
        <v>i</v>
      </c>
      <c r="M36" s="976">
        <f t="shared" ref="M36:Q49" si="10">IF($L36=M$1,$K36,0)</f>
        <v>0</v>
      </c>
      <c r="N36" s="532">
        <f t="shared" si="10"/>
        <v>34.06</v>
      </c>
      <c r="O36" s="532">
        <f t="shared" si="10"/>
        <v>0</v>
      </c>
      <c r="P36" s="532">
        <f t="shared" si="10"/>
        <v>0</v>
      </c>
      <c r="Q36" s="974">
        <f t="shared" si="10"/>
        <v>0</v>
      </c>
    </row>
    <row r="37" spans="1:17" ht="15" customHeight="1">
      <c r="A37" s="156">
        <f>+A34+1</f>
        <v>14</v>
      </c>
      <c r="B37" s="145" t="s">
        <v>213</v>
      </c>
      <c r="C37" s="145" t="s">
        <v>600</v>
      </c>
      <c r="D37" s="144">
        <v>38</v>
      </c>
      <c r="E37" s="145" t="str">
        <f t="shared" si="0"/>
        <v>Captan 50W</v>
      </c>
      <c r="F37" s="145">
        <v>3</v>
      </c>
      <c r="G37" s="145" t="str">
        <f t="shared" si="1"/>
        <v>lb</v>
      </c>
      <c r="H37" s="146">
        <f t="shared" si="2"/>
        <v>3.4033333333333329</v>
      </c>
      <c r="I37" s="145" t="str">
        <f t="shared" si="3"/>
        <v>lb</v>
      </c>
      <c r="J37" s="144">
        <v>100</v>
      </c>
      <c r="K37" s="157">
        <f t="shared" si="4"/>
        <v>10.209999999999999</v>
      </c>
      <c r="L37" s="984" t="str">
        <f t="shared" si="5"/>
        <v>d</v>
      </c>
      <c r="M37" s="976">
        <f t="shared" si="10"/>
        <v>10.209999999999999</v>
      </c>
      <c r="N37" s="532">
        <f t="shared" si="10"/>
        <v>0</v>
      </c>
      <c r="O37" s="532">
        <f t="shared" si="10"/>
        <v>0</v>
      </c>
      <c r="P37" s="532">
        <f t="shared" si="10"/>
        <v>0</v>
      </c>
      <c r="Q37" s="974">
        <f t="shared" si="10"/>
        <v>0</v>
      </c>
    </row>
    <row r="38" spans="1:17" ht="15" customHeight="1">
      <c r="A38" s="156"/>
      <c r="B38" s="145"/>
      <c r="C38" s="145" t="s">
        <v>601</v>
      </c>
      <c r="D38" s="144">
        <v>69</v>
      </c>
      <c r="E38" s="145" t="str">
        <f t="shared" si="0"/>
        <v>Guthion WSB</v>
      </c>
      <c r="F38" s="145">
        <f t="shared" ref="F38:F48" si="11">VLOOKUP($D38,SprayCost,11)</f>
        <v>2</v>
      </c>
      <c r="G38" s="145" t="str">
        <f t="shared" si="1"/>
        <v>lb</v>
      </c>
      <c r="H38" s="146">
        <f t="shared" si="2"/>
        <v>6.8866666666666667</v>
      </c>
      <c r="I38" s="145" t="str">
        <f t="shared" si="3"/>
        <v>lb</v>
      </c>
      <c r="J38" s="144">
        <v>100</v>
      </c>
      <c r="K38" s="157">
        <f t="shared" si="4"/>
        <v>13.773333333333333</v>
      </c>
      <c r="L38" s="984" t="str">
        <f t="shared" si="5"/>
        <v>i</v>
      </c>
      <c r="M38" s="976">
        <f t="shared" si="10"/>
        <v>0</v>
      </c>
      <c r="N38" s="532">
        <f t="shared" si="10"/>
        <v>13.773333333333333</v>
      </c>
      <c r="O38" s="532">
        <f t="shared" si="10"/>
        <v>0</v>
      </c>
      <c r="P38" s="532">
        <f t="shared" si="10"/>
        <v>0</v>
      </c>
      <c r="Q38" s="974">
        <f t="shared" si="10"/>
        <v>0</v>
      </c>
    </row>
    <row r="39" spans="1:17" ht="15" customHeight="1">
      <c r="A39" s="156">
        <f>+A37+1</f>
        <v>15</v>
      </c>
      <c r="B39" s="145" t="s">
        <v>214</v>
      </c>
      <c r="C39" s="145" t="s">
        <v>600</v>
      </c>
      <c r="D39" s="144">
        <v>38</v>
      </c>
      <c r="E39" s="145" t="str">
        <f t="shared" si="0"/>
        <v>Captan 50W</v>
      </c>
      <c r="F39" s="145">
        <f t="shared" si="11"/>
        <v>6</v>
      </c>
      <c r="G39" s="145" t="str">
        <f t="shared" si="1"/>
        <v>lb</v>
      </c>
      <c r="H39" s="146">
        <f t="shared" si="2"/>
        <v>3.4033333333333329</v>
      </c>
      <c r="I39" s="145" t="str">
        <f t="shared" si="3"/>
        <v>lb</v>
      </c>
      <c r="J39" s="144">
        <v>100</v>
      </c>
      <c r="K39" s="157">
        <f t="shared" si="4"/>
        <v>20.419999999999998</v>
      </c>
      <c r="L39" s="984" t="str">
        <f t="shared" si="5"/>
        <v>d</v>
      </c>
      <c r="M39" s="976">
        <f t="shared" si="10"/>
        <v>20.419999999999998</v>
      </c>
      <c r="N39" s="532">
        <f t="shared" si="10"/>
        <v>0</v>
      </c>
      <c r="O39" s="532">
        <f t="shared" si="10"/>
        <v>0</v>
      </c>
      <c r="P39" s="532">
        <f t="shared" si="10"/>
        <v>0</v>
      </c>
      <c r="Q39" s="974">
        <f t="shared" si="10"/>
        <v>0</v>
      </c>
    </row>
    <row r="40" spans="1:17" ht="15" customHeight="1">
      <c r="A40" s="156"/>
      <c r="B40" s="145"/>
      <c r="C40" s="145" t="s">
        <v>604</v>
      </c>
      <c r="D40" s="144">
        <v>70</v>
      </c>
      <c r="E40" s="145" t="str">
        <f t="shared" si="0"/>
        <v>Imidan 70 WSB</v>
      </c>
      <c r="F40" s="145">
        <f t="shared" si="11"/>
        <v>3</v>
      </c>
      <c r="G40" s="145" t="str">
        <f t="shared" si="1"/>
        <v>lb</v>
      </c>
      <c r="H40" s="146">
        <f t="shared" si="2"/>
        <v>8.3633333333333333</v>
      </c>
      <c r="I40" s="145" t="str">
        <f t="shared" si="3"/>
        <v>lb</v>
      </c>
      <c r="J40" s="144">
        <v>100</v>
      </c>
      <c r="K40" s="157">
        <f t="shared" si="4"/>
        <v>25.09</v>
      </c>
      <c r="L40" s="984" t="str">
        <f t="shared" si="5"/>
        <v>i</v>
      </c>
      <c r="M40" s="976">
        <f t="shared" si="10"/>
        <v>0</v>
      </c>
      <c r="N40" s="532">
        <f t="shared" si="10"/>
        <v>25.09</v>
      </c>
      <c r="O40" s="532">
        <f t="shared" si="10"/>
        <v>0</v>
      </c>
      <c r="P40" s="532">
        <f t="shared" si="10"/>
        <v>0</v>
      </c>
      <c r="Q40" s="974">
        <f t="shared" si="10"/>
        <v>0</v>
      </c>
    </row>
    <row r="41" spans="1:17" ht="15" customHeight="1">
      <c r="A41" s="156"/>
      <c r="B41" s="145"/>
      <c r="C41" s="145" t="s">
        <v>596</v>
      </c>
      <c r="D41" s="144">
        <v>48</v>
      </c>
      <c r="E41" s="145" t="str">
        <f t="shared" si="0"/>
        <v>Virosoft</v>
      </c>
      <c r="F41" s="145">
        <f t="shared" si="11"/>
        <v>1.6</v>
      </c>
      <c r="G41" s="145" t="str">
        <f t="shared" si="1"/>
        <v>oz</v>
      </c>
      <c r="H41" s="146">
        <f t="shared" si="2"/>
        <v>10.046250000000001</v>
      </c>
      <c r="I41" s="145" t="str">
        <f t="shared" si="3"/>
        <v>oz</v>
      </c>
      <c r="J41" s="144">
        <v>100</v>
      </c>
      <c r="K41" s="157">
        <f t="shared" si="4"/>
        <v>16.074000000000002</v>
      </c>
      <c r="L41" s="984" t="str">
        <f t="shared" si="5"/>
        <v>i</v>
      </c>
      <c r="M41" s="976">
        <f t="shared" si="10"/>
        <v>0</v>
      </c>
      <c r="N41" s="532">
        <f t="shared" si="10"/>
        <v>16.074000000000002</v>
      </c>
      <c r="O41" s="532">
        <f t="shared" si="10"/>
        <v>0</v>
      </c>
      <c r="P41" s="532">
        <f t="shared" si="10"/>
        <v>0</v>
      </c>
      <c r="Q41" s="974">
        <f t="shared" si="10"/>
        <v>0</v>
      </c>
    </row>
    <row r="42" spans="1:17" ht="15" customHeight="1">
      <c r="A42" s="1252"/>
      <c r="B42" s="165"/>
      <c r="C42" s="165" t="s">
        <v>595</v>
      </c>
      <c r="D42" s="166">
        <v>137</v>
      </c>
      <c r="E42" s="165" t="str">
        <f t="shared" si="0"/>
        <v>Zeal</v>
      </c>
      <c r="F42" s="165">
        <f t="shared" si="11"/>
        <v>2</v>
      </c>
      <c r="G42" s="165" t="str">
        <f t="shared" si="1"/>
        <v>oz</v>
      </c>
      <c r="H42" s="146">
        <f t="shared" si="2"/>
        <v>18.629285714285714</v>
      </c>
      <c r="I42" s="165" t="str">
        <f t="shared" si="3"/>
        <v>oz</v>
      </c>
      <c r="J42" s="166">
        <v>40</v>
      </c>
      <c r="K42" s="1253">
        <f t="shared" si="4"/>
        <v>14.903428571428572</v>
      </c>
      <c r="L42" s="984" t="str">
        <f t="shared" si="5"/>
        <v>i</v>
      </c>
      <c r="M42" s="976">
        <f t="shared" si="10"/>
        <v>0</v>
      </c>
      <c r="N42" s="532">
        <f t="shared" si="10"/>
        <v>14.903428571428572</v>
      </c>
      <c r="O42" s="532">
        <f t="shared" si="10"/>
        <v>0</v>
      </c>
      <c r="P42" s="532">
        <f t="shared" si="10"/>
        <v>0</v>
      </c>
      <c r="Q42" s="974">
        <f t="shared" si="10"/>
        <v>0</v>
      </c>
    </row>
    <row r="43" spans="1:17" ht="15" customHeight="1">
      <c r="A43" s="169">
        <f>+A39+1</f>
        <v>16</v>
      </c>
      <c r="B43" s="147" t="s">
        <v>196</v>
      </c>
      <c r="C43" s="147" t="s">
        <v>600</v>
      </c>
      <c r="D43" s="148">
        <v>38</v>
      </c>
      <c r="E43" s="147" t="str">
        <f t="shared" si="0"/>
        <v>Captan 50W</v>
      </c>
      <c r="F43" s="147">
        <f t="shared" si="11"/>
        <v>6</v>
      </c>
      <c r="G43" s="147" t="str">
        <f t="shared" si="1"/>
        <v>lb</v>
      </c>
      <c r="H43" s="146">
        <f t="shared" si="2"/>
        <v>3.4033333333333329</v>
      </c>
      <c r="I43" s="147" t="str">
        <f t="shared" si="3"/>
        <v>lb</v>
      </c>
      <c r="J43" s="148">
        <v>100</v>
      </c>
      <c r="K43" s="170">
        <f t="shared" si="4"/>
        <v>20.419999999999998</v>
      </c>
      <c r="L43" s="984" t="str">
        <f t="shared" si="5"/>
        <v>d</v>
      </c>
      <c r="M43" s="976">
        <f t="shared" si="10"/>
        <v>20.419999999999998</v>
      </c>
      <c r="N43" s="532">
        <f t="shared" si="10"/>
        <v>0</v>
      </c>
      <c r="O43" s="532">
        <f t="shared" si="10"/>
        <v>0</v>
      </c>
      <c r="P43" s="532">
        <f t="shared" si="10"/>
        <v>0</v>
      </c>
      <c r="Q43" s="974">
        <f t="shared" si="10"/>
        <v>0</v>
      </c>
    </row>
    <row r="44" spans="1:17" ht="15" customHeight="1">
      <c r="A44" s="156"/>
      <c r="B44" s="145"/>
      <c r="C44" s="145" t="s">
        <v>604</v>
      </c>
      <c r="D44" s="144">
        <v>70</v>
      </c>
      <c r="E44" s="145" t="str">
        <f t="shared" si="0"/>
        <v>Imidan 70 WSB</v>
      </c>
      <c r="F44" s="145">
        <f t="shared" si="11"/>
        <v>3</v>
      </c>
      <c r="G44" s="145" t="str">
        <f t="shared" si="1"/>
        <v>lb</v>
      </c>
      <c r="H44" s="146">
        <f t="shared" si="2"/>
        <v>8.3633333333333333</v>
      </c>
      <c r="I44" s="145" t="str">
        <f t="shared" si="3"/>
        <v>lb</v>
      </c>
      <c r="J44" s="144">
        <v>100</v>
      </c>
      <c r="K44" s="157">
        <f t="shared" si="4"/>
        <v>25.09</v>
      </c>
      <c r="L44" s="984" t="str">
        <f t="shared" si="5"/>
        <v>i</v>
      </c>
      <c r="M44" s="976">
        <f t="shared" si="10"/>
        <v>0</v>
      </c>
      <c r="N44" s="532">
        <f t="shared" si="10"/>
        <v>25.09</v>
      </c>
      <c r="O44" s="532">
        <f t="shared" si="10"/>
        <v>0</v>
      </c>
      <c r="P44" s="532">
        <f t="shared" si="10"/>
        <v>0</v>
      </c>
      <c r="Q44" s="974">
        <f t="shared" si="10"/>
        <v>0</v>
      </c>
    </row>
    <row r="45" spans="1:17" ht="15" customHeight="1">
      <c r="A45" s="156"/>
      <c r="B45" s="145"/>
      <c r="C45" s="145" t="s">
        <v>596</v>
      </c>
      <c r="D45" s="144">
        <v>48</v>
      </c>
      <c r="E45" s="145" t="str">
        <f t="shared" si="0"/>
        <v>Virosoft</v>
      </c>
      <c r="F45" s="145">
        <f t="shared" si="11"/>
        <v>1.6</v>
      </c>
      <c r="G45" s="145" t="str">
        <f t="shared" si="1"/>
        <v>oz</v>
      </c>
      <c r="H45" s="146">
        <f t="shared" si="2"/>
        <v>10.046250000000001</v>
      </c>
      <c r="I45" s="145" t="str">
        <f t="shared" si="3"/>
        <v>oz</v>
      </c>
      <c r="J45" s="144">
        <v>100</v>
      </c>
      <c r="K45" s="157">
        <f t="shared" si="4"/>
        <v>16.074000000000002</v>
      </c>
      <c r="L45" s="984" t="str">
        <f t="shared" si="5"/>
        <v>i</v>
      </c>
      <c r="M45" s="976">
        <f t="shared" si="10"/>
        <v>0</v>
      </c>
      <c r="N45" s="532">
        <f t="shared" si="10"/>
        <v>16.074000000000002</v>
      </c>
      <c r="O45" s="532">
        <f t="shared" si="10"/>
        <v>0</v>
      </c>
      <c r="P45" s="532">
        <f t="shared" si="10"/>
        <v>0</v>
      </c>
      <c r="Q45" s="974">
        <f t="shared" si="10"/>
        <v>0</v>
      </c>
    </row>
    <row r="46" spans="1:17" ht="15" customHeight="1">
      <c r="A46" s="156">
        <f>+A43+1</f>
        <v>17</v>
      </c>
      <c r="B46" s="145" t="s">
        <v>603</v>
      </c>
      <c r="C46" s="145" t="s">
        <v>600</v>
      </c>
      <c r="D46" s="144">
        <v>93</v>
      </c>
      <c r="E46" s="145" t="str">
        <f t="shared" si="0"/>
        <v>Pristine</v>
      </c>
      <c r="F46" s="145">
        <f t="shared" si="11"/>
        <v>14.5</v>
      </c>
      <c r="G46" s="145" t="str">
        <f t="shared" si="1"/>
        <v>oz</v>
      </c>
      <c r="H46" s="146">
        <f t="shared" si="2"/>
        <v>2.550208333333333</v>
      </c>
      <c r="I46" s="145" t="str">
        <f t="shared" si="3"/>
        <v>oz</v>
      </c>
      <c r="J46" s="144">
        <v>50</v>
      </c>
      <c r="K46" s="157">
        <f t="shared" si="4"/>
        <v>18.489010416666662</v>
      </c>
      <c r="L46" s="984" t="str">
        <f t="shared" si="5"/>
        <v>d</v>
      </c>
      <c r="M46" s="976">
        <f t="shared" si="10"/>
        <v>18.489010416666662</v>
      </c>
      <c r="N46" s="532">
        <f t="shared" si="10"/>
        <v>0</v>
      </c>
      <c r="O46" s="532">
        <f t="shared" si="10"/>
        <v>0</v>
      </c>
      <c r="P46" s="532">
        <f t="shared" si="10"/>
        <v>0</v>
      </c>
      <c r="Q46" s="974">
        <f t="shared" si="10"/>
        <v>0</v>
      </c>
    </row>
    <row r="47" spans="1:17" ht="15" customHeight="1">
      <c r="A47" s="156"/>
      <c r="B47" s="145"/>
      <c r="C47" s="145" t="s">
        <v>602</v>
      </c>
      <c r="D47" s="144">
        <v>70</v>
      </c>
      <c r="E47" s="145" t="str">
        <f t="shared" si="0"/>
        <v>Imidan 70 WSB</v>
      </c>
      <c r="F47" s="145">
        <f t="shared" si="11"/>
        <v>3</v>
      </c>
      <c r="G47" s="145" t="str">
        <f t="shared" si="1"/>
        <v>lb</v>
      </c>
      <c r="H47" s="146">
        <f t="shared" si="2"/>
        <v>8.3633333333333333</v>
      </c>
      <c r="I47" s="145" t="str">
        <f t="shared" si="3"/>
        <v>lb</v>
      </c>
      <c r="J47" s="144">
        <v>100</v>
      </c>
      <c r="K47" s="157">
        <f t="shared" si="4"/>
        <v>25.09</v>
      </c>
      <c r="L47" s="984" t="str">
        <f t="shared" si="5"/>
        <v>i</v>
      </c>
      <c r="M47" s="976">
        <f t="shared" si="10"/>
        <v>0</v>
      </c>
      <c r="N47" s="532">
        <f t="shared" si="10"/>
        <v>25.09</v>
      </c>
      <c r="O47" s="532">
        <f t="shared" si="10"/>
        <v>0</v>
      </c>
      <c r="P47" s="532">
        <f t="shared" si="10"/>
        <v>0</v>
      </c>
      <c r="Q47" s="974">
        <f t="shared" si="10"/>
        <v>0</v>
      </c>
    </row>
    <row r="48" spans="1:17" ht="15" customHeight="1">
      <c r="A48" s="156"/>
      <c r="B48" s="145"/>
      <c r="C48" s="145" t="s">
        <v>596</v>
      </c>
      <c r="D48" s="144">
        <v>17</v>
      </c>
      <c r="E48" s="145" t="str">
        <f t="shared" si="0"/>
        <v>Altachor</v>
      </c>
      <c r="F48" s="145">
        <f t="shared" si="11"/>
        <v>3</v>
      </c>
      <c r="G48" s="145" t="str">
        <f t="shared" si="1"/>
        <v>oz</v>
      </c>
      <c r="H48" s="146">
        <f t="shared" si="2"/>
        <v>11</v>
      </c>
      <c r="I48" s="145" t="str">
        <f t="shared" si="3"/>
        <v>oz</v>
      </c>
      <c r="J48" s="144">
        <v>100</v>
      </c>
      <c r="K48" s="157">
        <f t="shared" si="4"/>
        <v>33</v>
      </c>
      <c r="L48" s="984" t="str">
        <f t="shared" si="5"/>
        <v>i</v>
      </c>
      <c r="M48" s="976">
        <f t="shared" si="10"/>
        <v>0</v>
      </c>
      <c r="N48" s="532">
        <f t="shared" si="10"/>
        <v>33</v>
      </c>
      <c r="O48" s="532">
        <f t="shared" si="10"/>
        <v>0</v>
      </c>
      <c r="P48" s="532">
        <f t="shared" si="10"/>
        <v>0</v>
      </c>
      <c r="Q48" s="974">
        <f t="shared" si="10"/>
        <v>0</v>
      </c>
    </row>
    <row r="49" spans="1:17" ht="15" customHeight="1">
      <c r="A49" s="156"/>
      <c r="B49" s="145"/>
      <c r="C49" s="145" t="s">
        <v>605</v>
      </c>
      <c r="D49" s="144">
        <v>101</v>
      </c>
      <c r="E49" s="145" t="str">
        <f t="shared" si="0"/>
        <v>Retain</v>
      </c>
      <c r="F49" s="145">
        <v>0.5</v>
      </c>
      <c r="G49" s="145" t="str">
        <f t="shared" si="1"/>
        <v>ea</v>
      </c>
      <c r="H49" s="146">
        <f t="shared" si="2"/>
        <v>232.5</v>
      </c>
      <c r="I49" s="145" t="str">
        <f t="shared" si="3"/>
        <v>ea</v>
      </c>
      <c r="J49" s="144">
        <v>33</v>
      </c>
      <c r="K49" s="157">
        <f t="shared" si="4"/>
        <v>38.362500000000004</v>
      </c>
      <c r="L49" s="984" t="str">
        <f t="shared" si="5"/>
        <v>pgr</v>
      </c>
      <c r="M49" s="976">
        <f t="shared" si="10"/>
        <v>0</v>
      </c>
      <c r="N49" s="532">
        <f t="shared" si="10"/>
        <v>0</v>
      </c>
      <c r="O49" s="532">
        <f t="shared" si="10"/>
        <v>38.362500000000004</v>
      </c>
      <c r="P49" s="532">
        <f t="shared" si="10"/>
        <v>0</v>
      </c>
      <c r="Q49" s="974">
        <f t="shared" si="10"/>
        <v>0</v>
      </c>
    </row>
    <row r="50" spans="1:17" ht="15" customHeight="1">
      <c r="A50" s="156">
        <f>+A46+1</f>
        <v>18</v>
      </c>
      <c r="B50" s="145" t="s">
        <v>350</v>
      </c>
      <c r="C50" s="145" t="s">
        <v>353</v>
      </c>
      <c r="D50" s="144"/>
      <c r="E50" s="145"/>
      <c r="F50" s="145"/>
      <c r="G50" s="145"/>
      <c r="H50" s="146"/>
      <c r="I50" s="145"/>
      <c r="J50" s="144">
        <v>100</v>
      </c>
      <c r="K50" s="157">
        <f t="shared" si="4"/>
        <v>0</v>
      </c>
      <c r="L50" s="984"/>
      <c r="M50" s="976"/>
      <c r="N50" s="532"/>
      <c r="O50" s="532"/>
      <c r="P50" s="532"/>
      <c r="Q50" s="974"/>
    </row>
    <row r="51" spans="1:17" ht="15" customHeight="1">
      <c r="A51" s="963"/>
      <c r="B51" s="159" t="s">
        <v>619</v>
      </c>
      <c r="C51" s="964">
        <f>+A50</f>
        <v>18</v>
      </c>
      <c r="D51" s="965"/>
      <c r="E51" s="159"/>
      <c r="F51" s="159"/>
      <c r="G51" s="159"/>
      <c r="H51" s="159"/>
      <c r="I51" s="159"/>
      <c r="J51" s="159"/>
      <c r="K51" s="966"/>
      <c r="L51" s="993"/>
      <c r="M51" s="994"/>
      <c r="N51" s="995"/>
      <c r="O51" s="995"/>
      <c r="P51" s="995"/>
      <c r="Q51" s="996"/>
    </row>
    <row r="52" spans="1:17" ht="15" customHeight="1">
      <c r="A52" s="160" t="s">
        <v>185</v>
      </c>
      <c r="B52" s="161"/>
      <c r="C52" s="161"/>
      <c r="D52" s="162"/>
      <c r="E52" s="161"/>
      <c r="F52" s="161"/>
      <c r="G52" s="161"/>
      <c r="H52" s="163"/>
      <c r="I52" s="161"/>
      <c r="J52" s="161"/>
      <c r="K52" s="164">
        <f>SUM(M52:Q52)</f>
        <v>1012.0845796130951</v>
      </c>
      <c r="L52" s="997"/>
      <c r="M52" s="999">
        <f>SUM(M3:M50)</f>
        <v>467.41484374999999</v>
      </c>
      <c r="N52" s="999">
        <f>SUM(N3:N50)</f>
        <v>425.19353273809514</v>
      </c>
      <c r="O52" s="999">
        <f>SUM(O3:O50)</f>
        <v>89.824250000000006</v>
      </c>
      <c r="P52" s="999">
        <f>+StandHerb</f>
        <v>29.651953124999999</v>
      </c>
      <c r="Q52" s="999">
        <f>SUM(Q3:Q50)</f>
        <v>0</v>
      </c>
    </row>
    <row r="53" spans="1:17" ht="29.25" customHeight="1">
      <c r="A53" s="1317" t="s">
        <v>352</v>
      </c>
      <c r="B53" s="1318"/>
      <c r="C53" s="1318"/>
      <c r="D53" s="1318"/>
      <c r="E53" s="1318"/>
      <c r="F53" s="1318"/>
      <c r="G53" s="1318"/>
      <c r="H53" s="1318"/>
      <c r="I53" s="1318"/>
      <c r="J53" s="1318"/>
      <c r="K53" s="1319"/>
      <c r="L53" s="982"/>
      <c r="M53" s="977"/>
      <c r="N53" s="565"/>
      <c r="O53" s="565"/>
      <c r="P53" s="565"/>
      <c r="Q53" s="972"/>
    </row>
    <row r="54" spans="1:17" s="123" customFormat="1" ht="29.25" customHeight="1">
      <c r="A54" s="1340" t="s">
        <v>179</v>
      </c>
      <c r="B54" s="1340"/>
      <c r="C54" s="171" t="s">
        <v>180</v>
      </c>
      <c r="D54" s="171" t="s">
        <v>616</v>
      </c>
      <c r="E54" s="171" t="s">
        <v>66</v>
      </c>
      <c r="F54" s="967" t="s">
        <v>181</v>
      </c>
      <c r="G54" s="171"/>
      <c r="H54" s="171" t="s">
        <v>52</v>
      </c>
      <c r="I54" s="968"/>
      <c r="J54" s="171" t="s">
        <v>349</v>
      </c>
      <c r="K54" s="171" t="s">
        <v>182</v>
      </c>
      <c r="L54" s="986"/>
      <c r="M54" s="978"/>
      <c r="N54" s="971"/>
      <c r="O54" s="971"/>
      <c r="P54" s="971"/>
      <c r="Q54" s="973"/>
    </row>
    <row r="55" spans="1:17" ht="15" customHeight="1">
      <c r="A55" s="169">
        <v>1</v>
      </c>
      <c r="B55" s="147" t="s">
        <v>215</v>
      </c>
      <c r="C55" s="147" t="s">
        <v>353</v>
      </c>
      <c r="D55" s="148">
        <v>147</v>
      </c>
      <c r="E55" s="147" t="str">
        <f>VLOOKUP($D55,SprayCost,3)</f>
        <v>Foliar Feed II (16-8-3 + micros)</v>
      </c>
      <c r="F55" s="147">
        <v>0.5</v>
      </c>
      <c r="G55" s="147" t="str">
        <f>VLOOKUP($D55,SprayCost,12)</f>
        <v>qt</v>
      </c>
      <c r="H55" s="146">
        <f>VLOOKUP($D55,SprayCost,13)</f>
        <v>2.4500000000000002</v>
      </c>
      <c r="I55" s="147" t="str">
        <f>VLOOKUP($D55,SprayCost,12)</f>
        <v>qt</v>
      </c>
      <c r="J55" s="148">
        <v>100</v>
      </c>
      <c r="K55" s="170">
        <f>+F55*H55*J55*0.01*A55</f>
        <v>1.2250000000000001</v>
      </c>
      <c r="L55" s="984" t="str">
        <f>VLOOKUP($D55,SprayCost,2)</f>
        <v>f</v>
      </c>
      <c r="M55" s="976">
        <f t="shared" ref="M55:Q59" si="12">IF($L55=M$1,$K55,0)</f>
        <v>0</v>
      </c>
      <c r="N55" s="532">
        <f t="shared" si="12"/>
        <v>0</v>
      </c>
      <c r="O55" s="532">
        <f t="shared" si="12"/>
        <v>0</v>
      </c>
      <c r="P55" s="532">
        <f t="shared" si="12"/>
        <v>0</v>
      </c>
      <c r="Q55" s="974">
        <f t="shared" si="12"/>
        <v>1.2250000000000001</v>
      </c>
    </row>
    <row r="56" spans="1:17" ht="15" customHeight="1">
      <c r="A56" s="156">
        <v>1</v>
      </c>
      <c r="B56" s="145" t="s">
        <v>606</v>
      </c>
      <c r="C56" s="145" t="s">
        <v>347</v>
      </c>
      <c r="D56" s="144">
        <v>147</v>
      </c>
      <c r="E56" s="145" t="str">
        <f>VLOOKUP($D56,SprayCost,3)</f>
        <v>Foliar Feed II (16-8-3 + micros)</v>
      </c>
      <c r="F56" s="145">
        <v>0.5</v>
      </c>
      <c r="G56" s="145" t="str">
        <f>VLOOKUP($D56,SprayCost,12)</f>
        <v>qt</v>
      </c>
      <c r="H56" s="146">
        <f>VLOOKUP($D56,SprayCost,13)</f>
        <v>2.4500000000000002</v>
      </c>
      <c r="I56" s="145" t="str">
        <f>VLOOKUP($D56,SprayCost,12)</f>
        <v>qt</v>
      </c>
      <c r="J56" s="144">
        <v>100</v>
      </c>
      <c r="K56" s="157">
        <f>+F56*H56*J56*0.01*A56</f>
        <v>1.2250000000000001</v>
      </c>
      <c r="L56" s="984" t="str">
        <f>VLOOKUP($D56,SprayCost,2)</f>
        <v>f</v>
      </c>
      <c r="M56" s="976">
        <f t="shared" si="12"/>
        <v>0</v>
      </c>
      <c r="N56" s="532">
        <f t="shared" si="12"/>
        <v>0</v>
      </c>
      <c r="O56" s="532">
        <f t="shared" si="12"/>
        <v>0</v>
      </c>
      <c r="P56" s="532">
        <f t="shared" si="12"/>
        <v>0</v>
      </c>
      <c r="Q56" s="974">
        <f t="shared" si="12"/>
        <v>1.2250000000000001</v>
      </c>
    </row>
    <row r="57" spans="1:17" ht="15" customHeight="1">
      <c r="A57" s="156">
        <v>6</v>
      </c>
      <c r="B57" s="145" t="s">
        <v>653</v>
      </c>
      <c r="C57" s="145" t="s">
        <v>220</v>
      </c>
      <c r="D57" s="144">
        <v>143</v>
      </c>
      <c r="E57" s="145" t="str">
        <f>VLOOKUP($D57,SprayCost,3)</f>
        <v>Calcium 10% (1.25# Cal/gal)</v>
      </c>
      <c r="F57" s="145">
        <v>0.5</v>
      </c>
      <c r="G57" s="145" t="str">
        <f>VLOOKUP($D57,SprayCost,12)</f>
        <v>gal</v>
      </c>
      <c r="H57" s="146">
        <f>VLOOKUP($D57,SprayCost,13)</f>
        <v>5</v>
      </c>
      <c r="I57" s="145" t="str">
        <f>VLOOKUP($D57,SprayCost,12)</f>
        <v>gal</v>
      </c>
      <c r="J57" s="144">
        <v>25</v>
      </c>
      <c r="K57" s="157">
        <f>+F57*H57*J57*0.01*A57</f>
        <v>3.75</v>
      </c>
      <c r="L57" s="984" t="str">
        <f>VLOOKUP($D57,SprayCost,2)</f>
        <v>f</v>
      </c>
      <c r="M57" s="976">
        <f t="shared" si="12"/>
        <v>0</v>
      </c>
      <c r="N57" s="532">
        <f t="shared" si="12"/>
        <v>0</v>
      </c>
      <c r="O57" s="532">
        <f t="shared" si="12"/>
        <v>0</v>
      </c>
      <c r="P57" s="532">
        <f t="shared" si="12"/>
        <v>0</v>
      </c>
      <c r="Q57" s="974">
        <f t="shared" si="12"/>
        <v>3.75</v>
      </c>
    </row>
    <row r="58" spans="1:17" ht="15" customHeight="1">
      <c r="A58" s="962">
        <v>4</v>
      </c>
      <c r="B58" s="145" t="s">
        <v>218</v>
      </c>
      <c r="C58" s="145" t="s">
        <v>219</v>
      </c>
      <c r="D58" s="144">
        <v>148</v>
      </c>
      <c r="E58" s="145" t="str">
        <f>VLOOKUP($D58,SprayCost,3)</f>
        <v>Nuta Leaf 20-20-20</v>
      </c>
      <c r="F58" s="145">
        <v>1.5</v>
      </c>
      <c r="G58" s="145" t="str">
        <f>VLOOKUP($D58,SprayCost,12)</f>
        <v>lb</v>
      </c>
      <c r="H58" s="146">
        <f>VLOOKUP($D58,SprayCost,13)</f>
        <v>1.25</v>
      </c>
      <c r="I58" s="145" t="str">
        <f>VLOOKUP($D58,SprayCost,12)</f>
        <v>lb</v>
      </c>
      <c r="J58" s="144">
        <v>100</v>
      </c>
      <c r="K58" s="157">
        <f>+F58*H58*J58*0.01*A58</f>
        <v>7.5</v>
      </c>
      <c r="L58" s="984" t="str">
        <f>VLOOKUP($D58,SprayCost,2)</f>
        <v>f</v>
      </c>
      <c r="M58" s="976">
        <f t="shared" si="12"/>
        <v>0</v>
      </c>
      <c r="N58" s="532">
        <f t="shared" si="12"/>
        <v>0</v>
      </c>
      <c r="O58" s="532">
        <f t="shared" si="12"/>
        <v>0</v>
      </c>
      <c r="P58" s="532">
        <f t="shared" si="12"/>
        <v>0</v>
      </c>
      <c r="Q58" s="974">
        <f t="shared" si="12"/>
        <v>7.5</v>
      </c>
    </row>
    <row r="59" spans="1:17" ht="15" customHeight="1">
      <c r="A59" s="156">
        <v>1</v>
      </c>
      <c r="B59" s="145" t="s">
        <v>350</v>
      </c>
      <c r="C59" s="145" t="s">
        <v>353</v>
      </c>
      <c r="D59" s="144">
        <v>147</v>
      </c>
      <c r="E59" s="145" t="str">
        <f>VLOOKUP($D59,SprayCost,3)</f>
        <v>Foliar Feed II (16-8-3 + micros)</v>
      </c>
      <c r="F59" s="145">
        <v>2.5</v>
      </c>
      <c r="G59" s="145" t="str">
        <f>VLOOKUP($D59,SprayCost,12)</f>
        <v>qt</v>
      </c>
      <c r="H59" s="146">
        <f>VLOOKUP($D59,SprayCost,13)</f>
        <v>2.4500000000000002</v>
      </c>
      <c r="I59" s="145" t="str">
        <f>VLOOKUP($D59,SprayCost,12)</f>
        <v>qt</v>
      </c>
      <c r="J59" s="144">
        <v>100</v>
      </c>
      <c r="K59" s="157">
        <f>+F59*H59*J59*0.01*A59</f>
        <v>6.125</v>
      </c>
      <c r="L59" s="984" t="str">
        <f>VLOOKUP($D59,SprayCost,2)</f>
        <v>f</v>
      </c>
      <c r="M59" s="976">
        <f t="shared" si="12"/>
        <v>0</v>
      </c>
      <c r="N59" s="532">
        <f t="shared" si="12"/>
        <v>0</v>
      </c>
      <c r="O59" s="532">
        <f t="shared" si="12"/>
        <v>0</v>
      </c>
      <c r="P59" s="532">
        <f t="shared" si="12"/>
        <v>0</v>
      </c>
      <c r="Q59" s="974">
        <f t="shared" si="12"/>
        <v>6.125</v>
      </c>
    </row>
    <row r="60" spans="1:17" ht="15" customHeight="1">
      <c r="A60" s="168"/>
      <c r="B60" s="159" t="s">
        <v>622</v>
      </c>
      <c r="C60" s="159"/>
      <c r="D60" s="965"/>
      <c r="E60" s="159"/>
      <c r="F60" s="159"/>
      <c r="G60" s="159"/>
      <c r="H60" s="159"/>
      <c r="I60" s="159"/>
      <c r="J60" s="159"/>
      <c r="K60" s="966"/>
      <c r="L60" s="987"/>
      <c r="M60" s="979"/>
      <c r="N60" s="538"/>
      <c r="O60" s="538"/>
      <c r="P60" s="538"/>
      <c r="Q60" s="975"/>
    </row>
    <row r="61" spans="1:17" s="128" customFormat="1" ht="15" customHeight="1">
      <c r="A61" s="1010" t="s">
        <v>621</v>
      </c>
      <c r="B61" s="1011"/>
      <c r="C61" s="1011"/>
      <c r="D61" s="1012"/>
      <c r="E61" s="1011"/>
      <c r="F61" s="1011"/>
      <c r="G61" s="1011"/>
      <c r="H61" s="1013"/>
      <c r="I61" s="1011"/>
      <c r="J61" s="1011"/>
      <c r="K61" s="1009">
        <f>SUM(K55:K60)</f>
        <v>19.824999999999999</v>
      </c>
      <c r="L61" s="988"/>
      <c r="M61" s="980">
        <f>SUM(M55:M60)</f>
        <v>0</v>
      </c>
      <c r="N61" s="970">
        <f>SUM(N55:N60)</f>
        <v>0</v>
      </c>
      <c r="O61" s="970">
        <f>SUM(O55:O60)</f>
        <v>0</v>
      </c>
      <c r="P61" s="970">
        <f>SUM(P55:P60)</f>
        <v>0</v>
      </c>
      <c r="Q61" s="970">
        <f>SUM(Q55:Q60)</f>
        <v>19.824999999999999</v>
      </c>
    </row>
    <row r="62" spans="1:17" s="128" customFormat="1" ht="15" customHeight="1">
      <c r="A62" s="1000" t="s">
        <v>608</v>
      </c>
      <c r="B62" s="1001"/>
      <c r="C62" s="1001"/>
      <c r="D62" s="1002"/>
      <c r="E62" s="1001"/>
      <c r="F62" s="1001"/>
      <c r="G62" s="1001"/>
      <c r="H62" s="1003"/>
      <c r="I62" s="1001"/>
      <c r="J62" s="1005"/>
      <c r="K62" s="998">
        <f>+SprayMat4+FoliarMat</f>
        <v>1031.909579613095</v>
      </c>
      <c r="L62" s="1007"/>
      <c r="M62" s="998">
        <f>+M52+M61</f>
        <v>467.41484374999999</v>
      </c>
      <c r="N62" s="998">
        <f>+N52+N61</f>
        <v>425.19353273809514</v>
      </c>
      <c r="O62" s="998">
        <f>+O52+O61</f>
        <v>89.824250000000006</v>
      </c>
      <c r="P62" s="998">
        <f>+StandHerb</f>
        <v>29.651953124999999</v>
      </c>
      <c r="Q62" s="998">
        <f>+Q52+Q61</f>
        <v>19.824999999999999</v>
      </c>
    </row>
    <row r="63" spans="1:17" s="119" customFormat="1" ht="15" customHeight="1">
      <c r="A63" s="158" t="s">
        <v>690</v>
      </c>
      <c r="B63" s="165"/>
      <c r="C63" s="165"/>
      <c r="D63" s="166"/>
      <c r="E63" s="165"/>
      <c r="F63" s="165"/>
      <c r="G63" s="165"/>
      <c r="H63" s="167"/>
      <c r="I63" s="165"/>
      <c r="J63" s="1006"/>
      <c r="K63" s="1014">
        <f>+K62/$K62*100</f>
        <v>100</v>
      </c>
      <c r="L63" s="1008"/>
      <c r="M63" s="1004">
        <f>+M62/$K62*100</f>
        <v>45.296104715420213</v>
      </c>
      <c r="N63" s="1004">
        <f>+N62/$K62*100</f>
        <v>41.204533918322333</v>
      </c>
      <c r="O63" s="1004">
        <f>+O62/$K62*100</f>
        <v>8.7046628672328801</v>
      </c>
      <c r="P63" s="1004">
        <f>+P62/$K62*100</f>
        <v>2.8735030385237557</v>
      </c>
      <c r="Q63" s="1004">
        <f>+Q62/$K62*100</f>
        <v>1.9211954605008317</v>
      </c>
    </row>
    <row r="66" ht="22.5" customHeight="1"/>
  </sheetData>
  <mergeCells count="5">
    <mergeCell ref="A54:B54"/>
    <mergeCell ref="D1:K1"/>
    <mergeCell ref="A1:C1"/>
    <mergeCell ref="H2:I2"/>
    <mergeCell ref="A53:K53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H15" sqref="H15"/>
    </sheetView>
  </sheetViews>
  <sheetFormatPr defaultRowHeight="15" customHeight="1"/>
  <cols>
    <col min="1" max="1" width="4.85546875" style="119" customWidth="1"/>
    <col min="2" max="2" width="14.42578125" style="119" customWidth="1"/>
    <col min="3" max="4" width="8" style="119" customWidth="1"/>
    <col min="5" max="5" width="14.28515625" style="119" customWidth="1"/>
    <col min="6" max="7" width="8" style="119" customWidth="1"/>
    <col min="8" max="8" width="14.28515625" style="119" customWidth="1"/>
    <col min="9" max="10" width="8" style="119" customWidth="1"/>
    <col min="11" max="16384" width="9.140625" style="119"/>
  </cols>
  <sheetData>
    <row r="1" spans="1:10" ht="24" customHeight="1">
      <c r="A1" s="468" t="s">
        <v>624</v>
      </c>
      <c r="B1" s="919"/>
      <c r="C1" s="919"/>
      <c r="D1" s="919"/>
      <c r="E1" s="919"/>
      <c r="F1" s="919"/>
      <c r="G1" s="919"/>
      <c r="H1" s="919"/>
      <c r="I1" s="919"/>
      <c r="J1" s="920"/>
    </row>
    <row r="2" spans="1:10" ht="15" customHeight="1">
      <c r="A2" s="921" t="s">
        <v>221</v>
      </c>
      <c r="B2" s="919"/>
      <c r="C2" s="919"/>
      <c r="D2" s="919"/>
      <c r="E2" s="919"/>
      <c r="F2" s="919"/>
      <c r="G2" s="919"/>
      <c r="H2" s="919"/>
      <c r="I2" s="919"/>
      <c r="J2" s="920"/>
    </row>
    <row r="3" spans="1:10" ht="12.75" customHeight="1">
      <c r="A3" s="922"/>
      <c r="B3" s="1344" t="s">
        <v>19</v>
      </c>
      <c r="C3" s="1344"/>
      <c r="D3" s="923">
        <f>+CLTRV</f>
        <v>100</v>
      </c>
      <c r="E3" s="1344" t="s">
        <v>20</v>
      </c>
      <c r="F3" s="1344"/>
      <c r="G3" s="923">
        <f>VATRV</f>
        <v>80</v>
      </c>
      <c r="H3" s="1344" t="s">
        <v>338</v>
      </c>
      <c r="I3" s="1344"/>
      <c r="J3" s="923">
        <f>TSTRV</f>
        <v>60</v>
      </c>
    </row>
    <row r="4" spans="1:10" ht="12.75" customHeight="1">
      <c r="A4" s="924" t="s">
        <v>30</v>
      </c>
      <c r="B4" s="1340" t="s">
        <v>611</v>
      </c>
      <c r="C4" s="1340"/>
      <c r="D4" s="1340"/>
      <c r="E4" s="1340" t="str">
        <f>+B4</f>
        <v>Program Applied</v>
      </c>
      <c r="F4" s="1340"/>
      <c r="G4" s="1340"/>
      <c r="H4" s="1340" t="str">
        <f>+E4</f>
        <v>Program Applied</v>
      </c>
      <c r="I4" s="1340"/>
      <c r="J4" s="1340"/>
    </row>
    <row r="5" spans="1:10" ht="25.5" customHeight="1">
      <c r="A5" s="925"/>
      <c r="B5" s="171" t="s">
        <v>614</v>
      </c>
      <c r="C5" s="171" t="s">
        <v>613</v>
      </c>
      <c r="D5" s="171" t="s">
        <v>612</v>
      </c>
      <c r="E5" s="171" t="str">
        <f>+B5</f>
        <v>Descrip.</v>
      </c>
      <c r="F5" s="171" t="str">
        <f>+C5</f>
        <v>% of Full Program</v>
      </c>
      <c r="G5" s="171" t="str">
        <f>+D5</f>
        <v>Cost /Acre</v>
      </c>
      <c r="H5" s="171" t="str">
        <f>+E5</f>
        <v>Descrip.</v>
      </c>
      <c r="I5" s="171" t="str">
        <f>+F5</f>
        <v>% of Full Program</v>
      </c>
      <c r="J5" s="171" t="str">
        <f>+G5</f>
        <v>Cost /Acre</v>
      </c>
    </row>
    <row r="6" spans="1:10" ht="12.75" customHeight="1">
      <c r="A6" s="926">
        <v>1</v>
      </c>
      <c r="B6" s="927" t="s">
        <v>226</v>
      </c>
      <c r="C6" s="928">
        <v>5</v>
      </c>
      <c r="D6" s="929">
        <f>+TotSpCost*'Spray Costs'!C6*0.01*CLTRV*0.01</f>
        <v>51.595478980654754</v>
      </c>
      <c r="E6" s="927" t="s">
        <v>226</v>
      </c>
      <c r="F6" s="928">
        <v>5</v>
      </c>
      <c r="G6" s="929">
        <f>+TotSpCost*'Spray Costs'!F6*0.01*VATRV*0.01</f>
        <v>41.276383184523802</v>
      </c>
      <c r="H6" s="930" t="s">
        <v>226</v>
      </c>
      <c r="I6" s="928">
        <v>5</v>
      </c>
      <c r="J6" s="929">
        <f>+TotSpCost*'Spray Costs'!I6*0.01*TSTRV*0.01</f>
        <v>30.957287388392853</v>
      </c>
    </row>
    <row r="7" spans="1:10" ht="12.75" customHeight="1">
      <c r="A7" s="926">
        <v>2</v>
      </c>
      <c r="B7" s="931" t="s">
        <v>615</v>
      </c>
      <c r="C7" s="932">
        <v>10</v>
      </c>
      <c r="D7" s="915">
        <f>+TotSpCost*'Spray Costs'!C7*0.01*CLTRV*0.01</f>
        <v>103.19095796130951</v>
      </c>
      <c r="E7" s="931" t="s">
        <v>615</v>
      </c>
      <c r="F7" s="932">
        <v>20</v>
      </c>
      <c r="G7" s="915">
        <f>+TotSpCost*'Spray Costs'!F7*0.01*VATRV*0.01</f>
        <v>165.10553273809521</v>
      </c>
      <c r="H7" s="933" t="s">
        <v>227</v>
      </c>
      <c r="I7" s="932">
        <v>60</v>
      </c>
      <c r="J7" s="915">
        <f>+TotSpCost*'Spray Costs'!I7*0.01*TSTRV*0.01</f>
        <v>371.48744866071422</v>
      </c>
    </row>
    <row r="8" spans="1:10" ht="12.75" customHeight="1">
      <c r="A8" s="926">
        <v>3</v>
      </c>
      <c r="B8" s="931" t="s">
        <v>227</v>
      </c>
      <c r="C8" s="932">
        <v>40</v>
      </c>
      <c r="D8" s="915">
        <f>+TotSpCost*'Spray Costs'!C8*0.01*CLTRV*0.01</f>
        <v>412.76383184523803</v>
      </c>
      <c r="E8" s="931" t="s">
        <v>227</v>
      </c>
      <c r="F8" s="932">
        <v>80</v>
      </c>
      <c r="G8" s="915">
        <f>+TotSpCost*'Spray Costs'!F8*0.01*VATRV*0.01</f>
        <v>660.42213095238083</v>
      </c>
      <c r="H8" s="933" t="s">
        <v>228</v>
      </c>
      <c r="I8" s="932">
        <v>100</v>
      </c>
      <c r="J8" s="915">
        <f>+TotSpCost*'Spray Costs'!I8*0.01*TSTRV*0.01</f>
        <v>619.14574776785707</v>
      </c>
    </row>
    <row r="9" spans="1:10" ht="12.75" customHeight="1">
      <c r="A9" s="926">
        <v>4</v>
      </c>
      <c r="B9" s="931" t="s">
        <v>227</v>
      </c>
      <c r="C9" s="932">
        <v>60</v>
      </c>
      <c r="D9" s="915">
        <f>+TotSpCost*'Spray Costs'!C9*0.01*CLTRV*0.01</f>
        <v>619.14574776785707</v>
      </c>
      <c r="E9" s="931" t="s">
        <v>228</v>
      </c>
      <c r="F9" s="932">
        <v>100</v>
      </c>
      <c r="G9" s="915">
        <f>+TotSpCost*'Spray Costs'!F9*0.01*VATRV*0.01</f>
        <v>825.52766369047606</v>
      </c>
      <c r="H9" s="933" t="s">
        <v>228</v>
      </c>
      <c r="I9" s="932">
        <v>100</v>
      </c>
      <c r="J9" s="915">
        <f>+TotSpCost*'Spray Costs'!I9*0.01*TSTRV*0.01</f>
        <v>619.14574776785707</v>
      </c>
    </row>
    <row r="10" spans="1:10" ht="12.75" customHeight="1">
      <c r="A10" s="926">
        <v>5</v>
      </c>
      <c r="B10" s="931" t="s">
        <v>228</v>
      </c>
      <c r="C10" s="932">
        <v>100</v>
      </c>
      <c r="D10" s="915">
        <f>+TotSpCost*'Spray Costs'!C10*0.01*CLTRV*0.01</f>
        <v>1031.909579613095</v>
      </c>
      <c r="E10" s="931" t="s">
        <v>228</v>
      </c>
      <c r="F10" s="932">
        <v>100</v>
      </c>
      <c r="G10" s="915">
        <f>+TotSpCost*'Spray Costs'!F10*0.01*VATRV*0.01</f>
        <v>825.52766369047606</v>
      </c>
      <c r="H10" s="933"/>
      <c r="I10" s="932"/>
      <c r="J10" s="934"/>
    </row>
    <row r="11" spans="1:10" ht="12.75" customHeight="1">
      <c r="A11" s="926">
        <v>6</v>
      </c>
      <c r="B11" s="931" t="str">
        <f>+B10</f>
        <v>Full Program</v>
      </c>
      <c r="C11" s="932">
        <v>100</v>
      </c>
      <c r="D11" s="915">
        <f>+TotSpCost*'Spray Costs'!C11*0.01*CLTRV*0.01</f>
        <v>1031.909579613095</v>
      </c>
      <c r="E11" s="931" t="str">
        <f>+E10</f>
        <v>Full Program</v>
      </c>
      <c r="F11" s="932">
        <v>100</v>
      </c>
      <c r="G11" s="915">
        <f>+TotSpCost*'Spray Costs'!F11*0.01*VATRV*0.01</f>
        <v>825.52766369047606</v>
      </c>
      <c r="H11" s="933"/>
      <c r="I11" s="932"/>
      <c r="J11" s="934"/>
    </row>
    <row r="12" spans="1:10" ht="12.75" customHeight="1">
      <c r="A12" s="926">
        <v>7</v>
      </c>
      <c r="B12" s="931" t="s">
        <v>228</v>
      </c>
      <c r="C12" s="932">
        <v>100</v>
      </c>
      <c r="D12" s="915">
        <f>+TotSpCost*'Spray Costs'!C12*0.01*CLTRV*0.01</f>
        <v>1031.909579613095</v>
      </c>
      <c r="E12" s="935"/>
      <c r="F12" s="936"/>
      <c r="G12" s="937"/>
      <c r="H12" s="933"/>
      <c r="I12" s="932"/>
      <c r="J12" s="937"/>
    </row>
    <row r="13" spans="1:10" ht="12.75" customHeight="1">
      <c r="A13" s="938">
        <v>8</v>
      </c>
      <c r="B13" s="939" t="str">
        <f>+B12</f>
        <v>Full Program</v>
      </c>
      <c r="C13" s="940">
        <v>100</v>
      </c>
      <c r="D13" s="916">
        <f>+TotSpCost*'Spray Costs'!C13*0.01*CLTRV*0.01</f>
        <v>1031.909579613095</v>
      </c>
      <c r="E13" s="941"/>
      <c r="F13" s="940"/>
      <c r="G13" s="942"/>
      <c r="H13" s="943"/>
      <c r="I13" s="944"/>
      <c r="J13" s="945"/>
    </row>
    <row r="14" spans="1:10" ht="15" customHeight="1">
      <c r="A14" s="921" t="s">
        <v>623</v>
      </c>
      <c r="B14" s="919"/>
      <c r="C14" s="919"/>
      <c r="D14" s="919"/>
      <c r="E14" s="919"/>
      <c r="F14" s="919"/>
      <c r="G14" s="919"/>
      <c r="H14" s="919"/>
      <c r="I14" s="919"/>
      <c r="J14" s="920"/>
    </row>
    <row r="15" spans="1:10" ht="15" customHeight="1">
      <c r="A15" s="926">
        <v>1</v>
      </c>
      <c r="B15" s="927" t="s">
        <v>226</v>
      </c>
      <c r="C15" s="928">
        <v>5</v>
      </c>
      <c r="D15" s="929">
        <f t="shared" ref="D15:D22" si="0">+CLTime*C15*0.01*TotSprTrips</f>
        <v>0.18</v>
      </c>
      <c r="E15" s="927" t="s">
        <v>226</v>
      </c>
      <c r="F15" s="928">
        <v>5</v>
      </c>
      <c r="G15" s="929">
        <f t="shared" ref="G15:G20" si="1">+CLTime*F15*0.01*TotSprTrips</f>
        <v>0.18</v>
      </c>
      <c r="H15" s="930" t="s">
        <v>226</v>
      </c>
      <c r="I15" s="928">
        <v>5</v>
      </c>
      <c r="J15" s="929">
        <f>+CLTime*I15*0.01*TotSprTrips</f>
        <v>0.18</v>
      </c>
    </row>
    <row r="16" spans="1:10" ht="15" customHeight="1">
      <c r="A16" s="926">
        <v>2</v>
      </c>
      <c r="B16" s="931" t="s">
        <v>615</v>
      </c>
      <c r="C16" s="932">
        <v>10</v>
      </c>
      <c r="D16" s="929">
        <f t="shared" si="0"/>
        <v>0.36</v>
      </c>
      <c r="E16" s="931" t="s">
        <v>615</v>
      </c>
      <c r="F16" s="932">
        <v>20</v>
      </c>
      <c r="G16" s="929">
        <f t="shared" si="1"/>
        <v>0.72</v>
      </c>
      <c r="H16" s="933" t="s">
        <v>227</v>
      </c>
      <c r="I16" s="932">
        <v>60</v>
      </c>
      <c r="J16" s="929">
        <f>+CLTime*I16*0.01*TotSprTrips</f>
        <v>2.16</v>
      </c>
    </row>
    <row r="17" spans="1:10" ht="15" customHeight="1">
      <c r="A17" s="926">
        <v>3</v>
      </c>
      <c r="B17" s="931" t="s">
        <v>227</v>
      </c>
      <c r="C17" s="932">
        <v>40</v>
      </c>
      <c r="D17" s="929">
        <f t="shared" si="0"/>
        <v>1.44</v>
      </c>
      <c r="E17" s="931" t="s">
        <v>227</v>
      </c>
      <c r="F17" s="932">
        <v>80</v>
      </c>
      <c r="G17" s="929">
        <f t="shared" si="1"/>
        <v>2.88</v>
      </c>
      <c r="H17" s="933" t="s">
        <v>228</v>
      </c>
      <c r="I17" s="932">
        <v>100</v>
      </c>
      <c r="J17" s="929">
        <f>+CLTime*I17*0.01*TotSprTrips</f>
        <v>3.6</v>
      </c>
    </row>
    <row r="18" spans="1:10" ht="15" customHeight="1">
      <c r="A18" s="926">
        <v>4</v>
      </c>
      <c r="B18" s="931" t="s">
        <v>227</v>
      </c>
      <c r="C18" s="932">
        <v>60</v>
      </c>
      <c r="D18" s="929">
        <f t="shared" si="0"/>
        <v>2.16</v>
      </c>
      <c r="E18" s="931" t="s">
        <v>228</v>
      </c>
      <c r="F18" s="932">
        <v>100</v>
      </c>
      <c r="G18" s="929">
        <f t="shared" si="1"/>
        <v>3.6</v>
      </c>
      <c r="H18" s="933" t="s">
        <v>228</v>
      </c>
      <c r="I18" s="932">
        <v>100</v>
      </c>
      <c r="J18" s="929">
        <f>+CLTime*I18*0.01*TotSprTrips</f>
        <v>3.6</v>
      </c>
    </row>
    <row r="19" spans="1:10" ht="15" customHeight="1">
      <c r="A19" s="926">
        <v>5</v>
      </c>
      <c r="B19" s="931" t="s">
        <v>228</v>
      </c>
      <c r="C19" s="932">
        <v>100</v>
      </c>
      <c r="D19" s="929">
        <f t="shared" si="0"/>
        <v>3.6</v>
      </c>
      <c r="E19" s="931" t="s">
        <v>228</v>
      </c>
      <c r="F19" s="932">
        <v>100</v>
      </c>
      <c r="G19" s="929">
        <f t="shared" si="1"/>
        <v>3.6</v>
      </c>
      <c r="H19" s="933"/>
      <c r="I19" s="932"/>
      <c r="J19" s="934"/>
    </row>
    <row r="20" spans="1:10" ht="15" customHeight="1">
      <c r="A20" s="926">
        <v>6</v>
      </c>
      <c r="B20" s="931" t="str">
        <f>+B19</f>
        <v>Full Program</v>
      </c>
      <c r="C20" s="932">
        <v>100</v>
      </c>
      <c r="D20" s="929">
        <f t="shared" si="0"/>
        <v>3.6</v>
      </c>
      <c r="E20" s="931" t="str">
        <f>+E19</f>
        <v>Full Program</v>
      </c>
      <c r="F20" s="932">
        <v>100</v>
      </c>
      <c r="G20" s="929">
        <f t="shared" si="1"/>
        <v>3.6</v>
      </c>
      <c r="H20" s="933"/>
      <c r="I20" s="932"/>
      <c r="J20" s="934"/>
    </row>
    <row r="21" spans="1:10" ht="15" customHeight="1">
      <c r="A21" s="926">
        <v>7</v>
      </c>
      <c r="B21" s="931" t="s">
        <v>228</v>
      </c>
      <c r="C21" s="932">
        <v>100</v>
      </c>
      <c r="D21" s="929">
        <f t="shared" si="0"/>
        <v>3.6</v>
      </c>
      <c r="E21" s="935"/>
      <c r="F21" s="936"/>
      <c r="G21" s="937"/>
      <c r="H21" s="933"/>
      <c r="I21" s="932"/>
      <c r="J21" s="937"/>
    </row>
    <row r="22" spans="1:10" ht="15" customHeight="1">
      <c r="A22" s="938">
        <v>8</v>
      </c>
      <c r="B22" s="939" t="str">
        <f>+B21</f>
        <v>Full Program</v>
      </c>
      <c r="C22" s="940">
        <v>100</v>
      </c>
      <c r="D22" s="929">
        <f t="shared" si="0"/>
        <v>3.6</v>
      </c>
      <c r="E22" s="941"/>
      <c r="F22" s="940"/>
      <c r="G22" s="942"/>
      <c r="H22" s="943"/>
      <c r="I22" s="944"/>
      <c r="J22" s="945"/>
    </row>
    <row r="23" spans="1:10" ht="15" customHeight="1">
      <c r="A23" s="946" t="s">
        <v>625</v>
      </c>
      <c r="B23" s="947"/>
      <c r="C23" s="948" t="s">
        <v>230</v>
      </c>
      <c r="D23" s="948" t="s">
        <v>231</v>
      </c>
      <c r="E23" s="949" t="s">
        <v>224</v>
      </c>
      <c r="F23" s="947" t="s">
        <v>232</v>
      </c>
      <c r="G23" s="950" t="s">
        <v>167</v>
      </c>
    </row>
    <row r="24" spans="1:10" ht="15" customHeight="1">
      <c r="A24" s="951"/>
      <c r="B24" s="952"/>
      <c r="C24" s="953" t="s">
        <v>233</v>
      </c>
      <c r="D24" s="953" t="s">
        <v>234</v>
      </c>
      <c r="E24" s="918" t="s">
        <v>235</v>
      </c>
      <c r="F24" s="952" t="s">
        <v>235</v>
      </c>
      <c r="G24" s="954" t="s">
        <v>38</v>
      </c>
    </row>
    <row r="25" spans="1:10" ht="15" customHeight="1">
      <c r="A25" s="955" t="s">
        <v>19</v>
      </c>
      <c r="B25" s="956"/>
      <c r="C25" s="957">
        <f>+CLRowSpace</f>
        <v>18</v>
      </c>
      <c r="D25" s="958">
        <f>+C25/C25*100</f>
        <v>100</v>
      </c>
      <c r="E25" s="917">
        <v>2</v>
      </c>
      <c r="F25" s="956">
        <v>10</v>
      </c>
      <c r="G25" s="959">
        <f>+E25/F25</f>
        <v>0.2</v>
      </c>
    </row>
    <row r="26" spans="1:10" ht="15" customHeight="1">
      <c r="A26" s="955" t="s">
        <v>20</v>
      </c>
      <c r="B26" s="956"/>
      <c r="C26" s="957">
        <f>+VARowSpace</f>
        <v>14</v>
      </c>
      <c r="D26" s="958">
        <f>+C25/C26*100</f>
        <v>128.57142857142858</v>
      </c>
      <c r="E26" s="917">
        <v>2</v>
      </c>
      <c r="F26" s="956">
        <v>10</v>
      </c>
      <c r="G26" s="959">
        <f>+E26/F26</f>
        <v>0.2</v>
      </c>
    </row>
    <row r="27" spans="1:10" ht="15" customHeight="1">
      <c r="A27" s="951" t="s">
        <v>338</v>
      </c>
      <c r="B27" s="952"/>
      <c r="C27" s="953">
        <f>+SSRowSpace</f>
        <v>12</v>
      </c>
      <c r="D27" s="960">
        <f>+C25/C27*100</f>
        <v>150</v>
      </c>
      <c r="E27" s="918">
        <v>2</v>
      </c>
      <c r="F27" s="952">
        <v>10</v>
      </c>
      <c r="G27" s="961">
        <f>+E27/F27</f>
        <v>0.2</v>
      </c>
    </row>
  </sheetData>
  <mergeCells count="6">
    <mergeCell ref="B3:C3"/>
    <mergeCell ref="E3:F3"/>
    <mergeCell ref="H3:I3"/>
    <mergeCell ref="B4:D4"/>
    <mergeCell ref="E4:G4"/>
    <mergeCell ref="H4:J4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2"/>
  <sheetViews>
    <sheetView workbookViewId="0">
      <selection activeCell="H15" sqref="H15"/>
    </sheetView>
  </sheetViews>
  <sheetFormatPr defaultRowHeight="15" customHeight="1"/>
  <cols>
    <col min="1" max="8" width="11.42578125" style="1030" customWidth="1"/>
    <col min="9" max="11" width="9" style="1030" customWidth="1"/>
    <col min="12" max="16384" width="9.140625" style="1030"/>
  </cols>
  <sheetData>
    <row r="1" spans="1:8" s="1082" customFormat="1" ht="24" customHeight="1">
      <c r="A1" s="1131" t="s">
        <v>698</v>
      </c>
      <c r="B1" s="1132"/>
      <c r="C1" s="1132"/>
      <c r="D1" s="1132"/>
      <c r="E1" s="1132"/>
      <c r="F1" s="1132"/>
      <c r="G1" s="1132"/>
      <c r="H1" s="1133"/>
    </row>
    <row r="2" spans="1:8" ht="15" customHeight="1">
      <c r="A2" s="659"/>
      <c r="B2" s="638"/>
      <c r="C2" s="1113" t="s">
        <v>54</v>
      </c>
      <c r="D2" s="1113" t="s">
        <v>126</v>
      </c>
      <c r="E2" s="1113" t="str">
        <f>+C2</f>
        <v>Bushel</v>
      </c>
      <c r="F2" s="1113" t="s">
        <v>127</v>
      </c>
      <c r="G2" s="1113"/>
      <c r="H2" s="421"/>
    </row>
    <row r="3" spans="1:8" ht="15" customHeight="1">
      <c r="A3" s="604"/>
      <c r="B3" s="603"/>
      <c r="C3" s="599" t="s">
        <v>128</v>
      </c>
      <c r="D3" s="599" t="s">
        <v>129</v>
      </c>
      <c r="E3" s="599" t="str">
        <f>+C3</f>
        <v>Picked</v>
      </c>
      <c r="F3" s="599" t="s">
        <v>130</v>
      </c>
      <c r="G3" s="599" t="str">
        <f>+F3</f>
        <v>Rate</v>
      </c>
      <c r="H3" s="422" t="s">
        <v>131</v>
      </c>
    </row>
    <row r="4" spans="1:8" ht="15" customHeight="1">
      <c r="A4" s="606"/>
      <c r="B4" s="661"/>
      <c r="C4" s="628" t="s">
        <v>132</v>
      </c>
      <c r="D4" s="628" t="s">
        <v>133</v>
      </c>
      <c r="E4" s="628" t="str">
        <f>+D4</f>
        <v xml:space="preserve"> /Worker</v>
      </c>
      <c r="F4" s="628" t="s">
        <v>39</v>
      </c>
      <c r="G4" s="628" t="s">
        <v>40</v>
      </c>
      <c r="H4" s="631" t="str">
        <f>+E4</f>
        <v xml:space="preserve"> /Worker</v>
      </c>
    </row>
    <row r="5" spans="1:8" ht="15" customHeight="1">
      <c r="A5" s="604"/>
      <c r="B5" s="603"/>
      <c r="C5" s="599">
        <v>12.5</v>
      </c>
      <c r="D5" s="599">
        <f>+WeekUse*40</f>
        <v>520</v>
      </c>
      <c r="E5" s="642">
        <f>+BushelHour*ManHours</f>
        <v>6500</v>
      </c>
      <c r="F5" s="657">
        <f>+PieceRateBin</f>
        <v>15</v>
      </c>
      <c r="G5" s="599">
        <f>+F5/20</f>
        <v>0.75</v>
      </c>
      <c r="H5" s="627">
        <f>+E5*G5</f>
        <v>4875</v>
      </c>
    </row>
    <row r="6" spans="1:8" ht="15" customHeight="1">
      <c r="A6" s="613"/>
      <c r="B6" s="609"/>
      <c r="C6" s="693"/>
      <c r="D6" s="693"/>
      <c r="E6" s="1134"/>
      <c r="F6" s="1104"/>
      <c r="G6" s="693"/>
      <c r="H6" s="1105"/>
    </row>
    <row r="7" spans="1:8" s="1083" customFormat="1" ht="29.25" customHeight="1">
      <c r="A7" s="1135"/>
      <c r="B7" s="1136" t="s">
        <v>393</v>
      </c>
      <c r="C7" s="1136" t="s">
        <v>394</v>
      </c>
      <c r="D7" s="1136" t="s">
        <v>395</v>
      </c>
      <c r="E7" s="1136" t="s">
        <v>396</v>
      </c>
      <c r="F7" s="1136" t="s">
        <v>397</v>
      </c>
      <c r="G7" s="1136" t="s">
        <v>398</v>
      </c>
      <c r="H7" s="1137" t="s">
        <v>399</v>
      </c>
    </row>
    <row r="8" spans="1:8" ht="15" customHeight="1">
      <c r="A8" s="604"/>
      <c r="B8" s="599">
        <f>6*4</f>
        <v>24</v>
      </c>
      <c r="C8" s="599">
        <v>20</v>
      </c>
      <c r="D8" s="599">
        <v>12</v>
      </c>
      <c r="E8" s="599">
        <v>13</v>
      </c>
      <c r="F8" s="599">
        <f>+WeekUse*40*CampWorker</f>
        <v>6240</v>
      </c>
      <c r="G8" s="657">
        <f>+D40/+F8</f>
        <v>0.42045447074293224</v>
      </c>
      <c r="H8" s="627">
        <f>+G8/BushelHour</f>
        <v>3.3636357659434582E-2</v>
      </c>
    </row>
    <row r="9" spans="1:8" ht="15" customHeight="1">
      <c r="A9" s="613"/>
      <c r="B9" s="609"/>
      <c r="C9" s="693"/>
      <c r="D9" s="693"/>
      <c r="E9" s="693"/>
      <c r="F9" s="693"/>
      <c r="G9" s="1104"/>
      <c r="H9" s="1105"/>
    </row>
    <row r="10" spans="1:8" ht="24" customHeight="1">
      <c r="A10" s="1081" t="s">
        <v>134</v>
      </c>
      <c r="B10" s="638"/>
      <c r="C10" s="638"/>
      <c r="D10" s="638"/>
      <c r="E10" s="638"/>
      <c r="F10" s="1106" t="s">
        <v>135</v>
      </c>
      <c r="G10" s="1106" t="str">
        <f>+F10</f>
        <v xml:space="preserve"> Cost</v>
      </c>
      <c r="H10" s="696" t="str">
        <f>+G10</f>
        <v xml:space="preserve"> Cost</v>
      </c>
    </row>
    <row r="11" spans="1:8" ht="15" customHeight="1">
      <c r="A11" s="606"/>
      <c r="B11" s="661"/>
      <c r="C11" s="661"/>
      <c r="D11" s="661"/>
      <c r="E11" s="661"/>
      <c r="F11" s="1138" t="s">
        <v>39</v>
      </c>
      <c r="G11" s="628" t="s">
        <v>40</v>
      </c>
      <c r="H11" s="644" t="s">
        <v>136</v>
      </c>
    </row>
    <row r="12" spans="1:8" ht="15" customHeight="1">
      <c r="A12" s="604" t="s">
        <v>137</v>
      </c>
      <c r="B12" s="603"/>
      <c r="C12" s="603"/>
      <c r="D12" s="603"/>
      <c r="E12" s="603"/>
      <c r="F12" s="129">
        <f>+H40</f>
        <v>2.1863632478632478</v>
      </c>
      <c r="G12" s="1084">
        <f t="shared" ref="G12:G17" si="0">+F12/20</f>
        <v>0.10931816239316239</v>
      </c>
      <c r="H12" s="1085">
        <f t="shared" ref="H12:H17" si="1">+F12/850</f>
        <v>2.572192056309703E-3</v>
      </c>
    </row>
    <row r="13" spans="1:8" ht="15" customHeight="1">
      <c r="A13" s="604" t="s">
        <v>401</v>
      </c>
      <c r="B13" s="603"/>
      <c r="C13" s="603"/>
      <c r="D13" s="603"/>
      <c r="E13" s="603"/>
      <c r="F13" s="129">
        <f>+H54</f>
        <v>15.224500000000001</v>
      </c>
      <c r="G13" s="1084">
        <f t="shared" si="0"/>
        <v>0.76122500000000004</v>
      </c>
      <c r="H13" s="1085">
        <f t="shared" si="1"/>
        <v>1.7911176470588236E-2</v>
      </c>
    </row>
    <row r="14" spans="1:8" ht="15" customHeight="1">
      <c r="A14" s="604" t="s">
        <v>138</v>
      </c>
      <c r="B14" s="603"/>
      <c r="C14" s="603"/>
      <c r="D14" s="603"/>
      <c r="E14" s="603"/>
      <c r="F14" s="129">
        <f>+H42</f>
        <v>6.25E-2</v>
      </c>
      <c r="G14" s="1084">
        <f t="shared" si="0"/>
        <v>3.1250000000000002E-3</v>
      </c>
      <c r="H14" s="1085">
        <f t="shared" si="1"/>
        <v>7.3529411764705876E-5</v>
      </c>
    </row>
    <row r="15" spans="1:8" ht="15" customHeight="1">
      <c r="A15" s="604" t="s">
        <v>139</v>
      </c>
      <c r="B15" s="603"/>
      <c r="C15" s="603"/>
      <c r="D15" s="603"/>
      <c r="E15" s="603"/>
      <c r="F15" s="129">
        <f>+H43</f>
        <v>1.6</v>
      </c>
      <c r="G15" s="1084">
        <f t="shared" si="0"/>
        <v>0.08</v>
      </c>
      <c r="H15" s="1085">
        <f t="shared" si="1"/>
        <v>1.8823529411764706E-3</v>
      </c>
    </row>
    <row r="16" spans="1:8" ht="15" customHeight="1">
      <c r="A16" s="604" t="s">
        <v>140</v>
      </c>
      <c r="B16" s="603"/>
      <c r="C16" s="603"/>
      <c r="D16" s="603"/>
      <c r="E16" s="603"/>
      <c r="F16" s="129">
        <f>+H51</f>
        <v>5.9868749999999995</v>
      </c>
      <c r="G16" s="1084">
        <f t="shared" si="0"/>
        <v>0.29934374999999996</v>
      </c>
      <c r="H16" s="1085">
        <f t="shared" si="1"/>
        <v>7.0433823529411762E-3</v>
      </c>
    </row>
    <row r="17" spans="1:8" ht="15" customHeight="1">
      <c r="A17" s="604" t="s">
        <v>141</v>
      </c>
      <c r="B17" s="603"/>
      <c r="C17" s="603"/>
      <c r="D17" s="603"/>
      <c r="E17" s="603"/>
      <c r="F17" s="129">
        <v>7</v>
      </c>
      <c r="G17" s="1084">
        <f t="shared" si="0"/>
        <v>0.35</v>
      </c>
      <c r="H17" s="1085">
        <f t="shared" si="1"/>
        <v>8.2352941176470594E-3</v>
      </c>
    </row>
    <row r="18" spans="1:8" ht="15" customHeight="1">
      <c r="A18" s="613"/>
      <c r="B18" s="609"/>
      <c r="C18" s="609"/>
      <c r="D18" s="609"/>
      <c r="E18" s="609"/>
      <c r="F18" s="609"/>
      <c r="G18" s="609"/>
      <c r="H18" s="1109"/>
    </row>
    <row r="19" spans="1:8" ht="15" customHeight="1">
      <c r="A19" s="1124" t="s">
        <v>49</v>
      </c>
      <c r="B19" s="665"/>
      <c r="C19" s="665"/>
      <c r="D19" s="665"/>
      <c r="E19" s="665"/>
      <c r="F19" s="1125">
        <f>SUM(F12:F18)</f>
        <v>32.060238247863246</v>
      </c>
      <c r="G19" s="1125">
        <f>SUM(G12:G18)</f>
        <v>1.6030119123931623</v>
      </c>
      <c r="H19" s="1161">
        <f>SUM(H12:H18)</f>
        <v>3.7717927350427352E-2</v>
      </c>
    </row>
    <row r="20" spans="1:8" ht="15" customHeight="1">
      <c r="A20" s="1163" t="s">
        <v>142</v>
      </c>
      <c r="B20" s="638"/>
      <c r="C20" s="638"/>
      <c r="D20" s="638"/>
      <c r="E20" s="638"/>
      <c r="F20" s="638"/>
      <c r="G20" s="1121"/>
      <c r="H20" s="1162"/>
    </row>
    <row r="21" spans="1:8" ht="15" customHeight="1">
      <c r="A21" s="604" t="s">
        <v>699</v>
      </c>
      <c r="B21" s="603"/>
      <c r="C21" s="603"/>
      <c r="D21" s="603"/>
      <c r="E21" s="603"/>
      <c r="F21" s="129"/>
      <c r="G21" s="129"/>
      <c r="H21" s="605"/>
    </row>
    <row r="22" spans="1:8" ht="15" customHeight="1">
      <c r="A22" s="613"/>
      <c r="B22" s="609"/>
      <c r="C22" s="609"/>
      <c r="D22" s="609"/>
      <c r="E22" s="609"/>
      <c r="F22" s="1108"/>
      <c r="G22" s="1108"/>
      <c r="H22" s="1109"/>
    </row>
    <row r="23" spans="1:8" ht="24" customHeight="1">
      <c r="A23" s="1110" t="s">
        <v>650</v>
      </c>
      <c r="B23" s="665"/>
      <c r="C23" s="665"/>
      <c r="D23" s="665"/>
      <c r="E23" s="1111" t="s">
        <v>37</v>
      </c>
      <c r="F23" s="1111" t="s">
        <v>144</v>
      </c>
      <c r="G23" s="1111" t="s">
        <v>145</v>
      </c>
      <c r="H23" s="1112" t="s">
        <v>146</v>
      </c>
    </row>
    <row r="24" spans="1:8" ht="15" customHeight="1">
      <c r="A24" s="604" t="s">
        <v>143</v>
      </c>
      <c r="B24" s="603"/>
      <c r="C24" s="603"/>
      <c r="D24" s="603"/>
      <c r="E24" s="642">
        <v>60000</v>
      </c>
      <c r="F24" s="599">
        <v>55000</v>
      </c>
      <c r="G24" s="599">
        <v>15</v>
      </c>
      <c r="H24" s="1086">
        <f>+F24/G24</f>
        <v>3666.6666666666665</v>
      </c>
    </row>
    <row r="25" spans="1:8" ht="15" customHeight="1">
      <c r="A25" s="604" t="s">
        <v>303</v>
      </c>
      <c r="B25" s="603" t="s">
        <v>270</v>
      </c>
      <c r="C25" s="603" t="s">
        <v>649</v>
      </c>
      <c r="D25" s="603"/>
      <c r="E25" s="642"/>
      <c r="F25" s="599"/>
      <c r="G25" s="599"/>
      <c r="H25" s="1086"/>
    </row>
    <row r="26" spans="1:8" ht="15" customHeight="1">
      <c r="A26" s="601">
        <v>23</v>
      </c>
      <c r="B26" s="804" t="str">
        <f>IF(A26&gt;0,VLOOKUP(A26,EquipCost,2),"")</f>
        <v>Straight Ladder</v>
      </c>
      <c r="C26" s="804">
        <f>IF(A26&gt;0,VLOOKUP(A26,EquipCost,12),"")</f>
        <v>28.799999999999997</v>
      </c>
      <c r="D26" s="603"/>
      <c r="E26" s="642"/>
      <c r="F26" s="599"/>
      <c r="G26" s="599"/>
      <c r="H26" s="1086">
        <f>+C26</f>
        <v>28.799999999999997</v>
      </c>
    </row>
    <row r="27" spans="1:8" ht="15" customHeight="1">
      <c r="A27" s="601">
        <v>24</v>
      </c>
      <c r="B27" s="804" t="str">
        <f>IF(A27&gt;0,VLOOKUP(A27,EquipCost,2),"")</f>
        <v>Step Ladder</v>
      </c>
      <c r="C27" s="804">
        <f>IF(A27&gt;0,VLOOKUP(A27,EquipCost,12),"")</f>
        <v>24</v>
      </c>
      <c r="D27" s="603"/>
      <c r="E27" s="642"/>
      <c r="F27" s="599"/>
      <c r="G27" s="599"/>
      <c r="H27" s="1086">
        <f>+C27</f>
        <v>24</v>
      </c>
    </row>
    <row r="28" spans="1:8" ht="15" customHeight="1">
      <c r="A28" s="601">
        <v>25</v>
      </c>
      <c r="B28" s="804" t="str">
        <f>IF(A28&gt;0,VLOOKUP(A28,EquipCost,2),"")</f>
        <v>Picking Bag</v>
      </c>
      <c r="C28" s="804">
        <f>IF(A28&gt;0,VLOOKUP(A28,EquipCost,12),"")</f>
        <v>13.600000000000001</v>
      </c>
      <c r="D28" s="603"/>
      <c r="E28" s="642"/>
      <c r="F28" s="599"/>
      <c r="G28" s="599"/>
      <c r="H28" s="1086">
        <f>+C28</f>
        <v>13.600000000000001</v>
      </c>
    </row>
    <row r="29" spans="1:8" ht="15" customHeight="1">
      <c r="A29" s="606" t="s">
        <v>49</v>
      </c>
      <c r="B29" s="661"/>
      <c r="C29" s="661"/>
      <c r="D29" s="661"/>
      <c r="E29" s="643"/>
      <c r="F29" s="628"/>
      <c r="G29" s="628"/>
      <c r="H29" s="1114">
        <f>SUM(H24:H28)</f>
        <v>3733.0666666666666</v>
      </c>
    </row>
    <row r="30" spans="1:8" ht="15" customHeight="1">
      <c r="A30" s="633"/>
      <c r="B30" s="1115"/>
      <c r="C30" s="1115"/>
      <c r="D30" s="1116"/>
      <c r="E30" s="1115"/>
      <c r="F30" s="1115"/>
      <c r="G30" s="1117"/>
      <c r="H30" s="1118"/>
    </row>
    <row r="31" spans="1:8" ht="15" customHeight="1">
      <c r="A31" s="659"/>
      <c r="B31" s="638"/>
      <c r="C31" s="638"/>
      <c r="D31" s="1113" t="s">
        <v>147</v>
      </c>
      <c r="E31" s="1113" t="s">
        <v>37</v>
      </c>
      <c r="F31" s="1113" t="str">
        <f>+E31</f>
        <v>Cost</v>
      </c>
      <c r="G31" s="1106" t="str">
        <f>+F31</f>
        <v>Cost</v>
      </c>
      <c r="H31" s="1119"/>
    </row>
    <row r="32" spans="1:8" ht="15" customHeight="1">
      <c r="A32" s="604"/>
      <c r="B32" s="603"/>
      <c r="C32" s="603"/>
      <c r="D32" s="599" t="s">
        <v>37</v>
      </c>
      <c r="E32" s="599" t="s">
        <v>133</v>
      </c>
      <c r="F32" s="599" t="str">
        <f>+E32</f>
        <v xml:space="preserve"> /Worker</v>
      </c>
      <c r="G32" s="599" t="str">
        <f>+F32</f>
        <v xml:space="preserve"> /Worker</v>
      </c>
      <c r="H32" s="422" t="s">
        <v>37</v>
      </c>
    </row>
    <row r="33" spans="1:16" ht="15" customHeight="1">
      <c r="A33" s="606"/>
      <c r="B33" s="661"/>
      <c r="C33" s="661"/>
      <c r="D33" s="628" t="s">
        <v>148</v>
      </c>
      <c r="E33" s="628" t="s">
        <v>149</v>
      </c>
      <c r="F33" s="628" t="s">
        <v>400</v>
      </c>
      <c r="G33" s="628" t="s">
        <v>129</v>
      </c>
      <c r="H33" s="631" t="s">
        <v>39</v>
      </c>
    </row>
    <row r="34" spans="1:16" ht="15" customHeight="1">
      <c r="A34" s="604" t="s">
        <v>150</v>
      </c>
      <c r="B34" s="603"/>
      <c r="C34" s="603"/>
      <c r="D34" s="129">
        <f>+(H29/WeekUse)*4</f>
        <v>1148.6358974358975</v>
      </c>
      <c r="E34" s="129">
        <f t="shared" ref="E34:E39" si="2">+(D34/CampWorker)/4</f>
        <v>23.92991452991453</v>
      </c>
      <c r="F34" s="129">
        <f t="shared" ref="F34:F39" si="3">+E34/40</f>
        <v>0.59824786324786328</v>
      </c>
      <c r="G34" s="1087">
        <f t="shared" ref="G34:G39" si="4">+F34*ManHours</f>
        <v>311.0888888888889</v>
      </c>
      <c r="H34" s="1088">
        <f t="shared" ref="H34:H39" si="5">+F34/BushelHour*20</f>
        <v>0.95719658119658124</v>
      </c>
    </row>
    <row r="35" spans="1:16" ht="15" customHeight="1">
      <c r="A35" s="604" t="s">
        <v>151</v>
      </c>
      <c r="B35" s="603"/>
      <c r="C35" s="603"/>
      <c r="D35" s="129">
        <v>750</v>
      </c>
      <c r="E35" s="129">
        <f t="shared" si="2"/>
        <v>15.625</v>
      </c>
      <c r="F35" s="129">
        <f t="shared" si="3"/>
        <v>0.390625</v>
      </c>
      <c r="G35" s="1087">
        <f t="shared" si="4"/>
        <v>203.125</v>
      </c>
      <c r="H35" s="1088">
        <f t="shared" si="5"/>
        <v>0.625</v>
      </c>
      <c r="P35" s="119"/>
    </row>
    <row r="36" spans="1:16" ht="15" customHeight="1">
      <c r="A36" s="604" t="s">
        <v>152</v>
      </c>
      <c r="B36" s="603"/>
      <c r="C36" s="603"/>
      <c r="D36" s="129">
        <v>170</v>
      </c>
      <c r="E36" s="129">
        <f t="shared" si="2"/>
        <v>3.5416666666666665</v>
      </c>
      <c r="F36" s="129">
        <f t="shared" si="3"/>
        <v>8.8541666666666657E-2</v>
      </c>
      <c r="G36" s="1087">
        <f t="shared" si="4"/>
        <v>46.041666666666664</v>
      </c>
      <c r="H36" s="1088">
        <f t="shared" si="5"/>
        <v>0.14166666666666666</v>
      </c>
    </row>
    <row r="37" spans="1:16" ht="15" customHeight="1">
      <c r="A37" s="604" t="s">
        <v>153</v>
      </c>
      <c r="B37" s="603"/>
      <c r="C37" s="603"/>
      <c r="D37" s="129">
        <v>300</v>
      </c>
      <c r="E37" s="129">
        <f t="shared" si="2"/>
        <v>6.25</v>
      </c>
      <c r="F37" s="129">
        <f t="shared" si="3"/>
        <v>0.15625</v>
      </c>
      <c r="G37" s="1087">
        <f t="shared" si="4"/>
        <v>81.25</v>
      </c>
      <c r="H37" s="1088">
        <f t="shared" si="5"/>
        <v>0.25</v>
      </c>
    </row>
    <row r="38" spans="1:16" ht="15" customHeight="1">
      <c r="A38" s="604" t="s">
        <v>154</v>
      </c>
      <c r="B38" s="603"/>
      <c r="C38" s="603"/>
      <c r="D38" s="129">
        <v>200</v>
      </c>
      <c r="E38" s="129">
        <f t="shared" si="2"/>
        <v>4.166666666666667</v>
      </c>
      <c r="F38" s="129">
        <f t="shared" si="3"/>
        <v>0.10416666666666667</v>
      </c>
      <c r="G38" s="1087">
        <f t="shared" si="4"/>
        <v>54.166666666666671</v>
      </c>
      <c r="H38" s="1088">
        <f t="shared" si="5"/>
        <v>0.16666666666666666</v>
      </c>
    </row>
    <row r="39" spans="1:16" ht="15" customHeight="1">
      <c r="A39" s="604" t="s">
        <v>155</v>
      </c>
      <c r="B39" s="603"/>
      <c r="C39" s="603"/>
      <c r="D39" s="129">
        <v>55</v>
      </c>
      <c r="E39" s="129">
        <f t="shared" si="2"/>
        <v>1.1458333333333333</v>
      </c>
      <c r="F39" s="129">
        <f t="shared" si="3"/>
        <v>2.8645833333333332E-2</v>
      </c>
      <c r="G39" s="1087">
        <f t="shared" si="4"/>
        <v>14.895833333333332</v>
      </c>
      <c r="H39" s="1088">
        <f t="shared" si="5"/>
        <v>4.5833333333333337E-2</v>
      </c>
    </row>
    <row r="40" spans="1:16" ht="15" customHeight="1">
      <c r="A40" s="1139" t="s">
        <v>156</v>
      </c>
      <c r="B40" s="665"/>
      <c r="C40" s="665"/>
      <c r="D40" s="1125">
        <f>SUM(D34:D39)</f>
        <v>2623.6358974358973</v>
      </c>
      <c r="E40" s="1125">
        <f>SUM(E34:E39)</f>
        <v>54.659081196581191</v>
      </c>
      <c r="F40" s="1140">
        <f>SUM(F34:F39)</f>
        <v>1.3664770299145299</v>
      </c>
      <c r="G40" s="1141">
        <f>SUM(G34:G39)</f>
        <v>710.56805555555559</v>
      </c>
      <c r="H40" s="1142">
        <f>SUM(H34:H39)</f>
        <v>2.1863632478632478</v>
      </c>
    </row>
    <row r="41" spans="1:16" ht="15" customHeight="1">
      <c r="A41" s="1124" t="s">
        <v>156</v>
      </c>
      <c r="B41" s="665"/>
      <c r="C41" s="665"/>
      <c r="D41" s="1125"/>
      <c r="E41" s="1125"/>
      <c r="F41" s="1140">
        <f>+F40</f>
        <v>1.3664770299145299</v>
      </c>
      <c r="G41" s="1141"/>
      <c r="H41" s="1142">
        <f>+F41/BushelHour*20</f>
        <v>2.1863632478632478</v>
      </c>
    </row>
    <row r="42" spans="1:16" ht="15" customHeight="1">
      <c r="A42" s="611" t="s">
        <v>157</v>
      </c>
      <c r="B42" s="413"/>
      <c r="C42" s="413"/>
      <c r="D42" s="415">
        <v>75</v>
      </c>
      <c r="E42" s="415">
        <f>+(D42/CampWorker)/4</f>
        <v>1.5625</v>
      </c>
      <c r="F42" s="415">
        <f>+E42/40</f>
        <v>3.90625E-2</v>
      </c>
      <c r="G42" s="1120">
        <f>+F42*ManHours</f>
        <v>20.3125</v>
      </c>
      <c r="H42" s="1145">
        <f>+F42/BushelHour*20</f>
        <v>6.25E-2</v>
      </c>
    </row>
    <row r="43" spans="1:16" ht="15" customHeight="1">
      <c r="A43" s="606" t="s">
        <v>139</v>
      </c>
      <c r="B43" s="661"/>
      <c r="C43" s="661"/>
      <c r="D43" s="661" t="s">
        <v>158</v>
      </c>
      <c r="E43" s="661"/>
      <c r="F43" s="1107">
        <v>1</v>
      </c>
      <c r="G43" s="1122"/>
      <c r="H43" s="1123">
        <f>+F43/BushelHour*20</f>
        <v>1.6</v>
      </c>
    </row>
    <row r="44" spans="1:16" ht="15" customHeight="1">
      <c r="A44" s="633"/>
      <c r="B44" s="1115"/>
      <c r="C44" s="1115"/>
      <c r="D44" s="1115"/>
      <c r="E44" s="1115"/>
      <c r="F44" s="1115"/>
      <c r="G44" s="1117"/>
      <c r="H44" s="1118"/>
    </row>
    <row r="45" spans="1:16" ht="15" customHeight="1">
      <c r="A45" s="1124" t="s">
        <v>159</v>
      </c>
      <c r="B45" s="665"/>
      <c r="C45" s="665"/>
      <c r="D45" s="1125"/>
      <c r="E45" s="665"/>
      <c r="F45" s="1125">
        <f>SUM(F41:F44)</f>
        <v>2.4055395299145301</v>
      </c>
      <c r="G45" s="1143"/>
      <c r="H45" s="1126">
        <f>SUM(H41:H44)</f>
        <v>3.8488632478632478</v>
      </c>
    </row>
    <row r="46" spans="1:16" ht="15" customHeight="1">
      <c r="A46" s="1127"/>
      <c r="B46" s="1128"/>
      <c r="C46" s="1128"/>
      <c r="D46" s="1129"/>
      <c r="E46" s="1128"/>
      <c r="F46" s="1129"/>
      <c r="G46" s="1144"/>
      <c r="H46" s="1130"/>
    </row>
    <row r="47" spans="1:16" ht="15" customHeight="1">
      <c r="A47" s="1089" t="s">
        <v>46</v>
      </c>
      <c r="B47" s="1090" t="s">
        <v>632</v>
      </c>
      <c r="C47" s="1090" t="s">
        <v>631</v>
      </c>
      <c r="D47" s="1091" t="s">
        <v>626</v>
      </c>
      <c r="E47" s="1092" t="s">
        <v>627</v>
      </c>
      <c r="F47" s="1091" t="s">
        <v>628</v>
      </c>
      <c r="G47" s="1091" t="s">
        <v>629</v>
      </c>
      <c r="H47" s="1091" t="s">
        <v>651</v>
      </c>
    </row>
    <row r="48" spans="1:16" ht="55.5" customHeight="1">
      <c r="A48" s="455" t="s">
        <v>648</v>
      </c>
      <c r="B48" s="456">
        <v>0.1</v>
      </c>
      <c r="C48" s="1101">
        <f>+B48</f>
        <v>0.1</v>
      </c>
      <c r="D48" s="1102">
        <f>+C48*LaborSkill</f>
        <v>1.5</v>
      </c>
      <c r="E48" s="594">
        <v>15</v>
      </c>
      <c r="F48" s="1146">
        <f>IF(E48&gt;0,VLOOKUP(E48,EquipCost,15)*C48,0)</f>
        <v>0.84437499999999999</v>
      </c>
      <c r="G48" s="594"/>
      <c r="H48" s="1147">
        <f>SUM(F48:G48)+D48</f>
        <v>2.3443749999999999</v>
      </c>
    </row>
    <row r="49" spans="1:15" ht="55.5" customHeight="1">
      <c r="A49" s="1094" t="s">
        <v>647</v>
      </c>
      <c r="B49" s="1095">
        <v>0.1</v>
      </c>
      <c r="C49" s="1093">
        <f>+B49</f>
        <v>0.1</v>
      </c>
      <c r="D49" s="588">
        <f>+C49*LaborSkill</f>
        <v>1.5</v>
      </c>
      <c r="E49" s="130">
        <v>19</v>
      </c>
      <c r="F49" s="1148">
        <f>IF(E49&gt;0,VLOOKUP(E49,EquipCost,15)*C49,0)</f>
        <v>0.40416666666666673</v>
      </c>
      <c r="G49" s="130"/>
      <c r="H49" s="1149">
        <f>SUM(F49:G49)+D49</f>
        <v>1.9041666666666668</v>
      </c>
      <c r="J49" s="1096"/>
      <c r="K49" s="1029"/>
      <c r="L49" s="1029"/>
      <c r="M49" s="1097"/>
      <c r="N49" s="1098"/>
      <c r="O49" s="1099"/>
    </row>
    <row r="50" spans="1:15" ht="15" customHeight="1">
      <c r="A50" s="1150" t="str">
        <f>IF(E50&gt;0,VLOOKUP(E50,EquipCost,2),"")</f>
        <v>Lift Tractor</v>
      </c>
      <c r="B50" s="1100">
        <v>0.05</v>
      </c>
      <c r="C50" s="1151">
        <f>+B50</f>
        <v>0.05</v>
      </c>
      <c r="D50" s="445">
        <f>+C50*LaborSkill</f>
        <v>0.75</v>
      </c>
      <c r="E50" s="446">
        <v>20</v>
      </c>
      <c r="F50" s="1152">
        <f>IF(E50&gt;0,VLOOKUP(E50,EquipCost,15)*C50,0)</f>
        <v>0.98833333333333329</v>
      </c>
      <c r="G50" s="446"/>
      <c r="H50" s="1153">
        <f>SUM(F50:G50)+D50</f>
        <v>1.7383333333333333</v>
      </c>
    </row>
    <row r="51" spans="1:15" ht="15" customHeight="1">
      <c r="A51" s="1139" t="s">
        <v>140</v>
      </c>
      <c r="B51" s="919"/>
      <c r="C51" s="1156"/>
      <c r="D51" s="1157"/>
      <c r="E51" s="1158"/>
      <c r="F51" s="1159"/>
      <c r="G51" s="1158"/>
      <c r="H51" s="1160">
        <f>SUM(H48:H50)</f>
        <v>5.9868749999999995</v>
      </c>
    </row>
    <row r="52" spans="1:15" ht="15" customHeight="1">
      <c r="A52" s="611" t="s">
        <v>160</v>
      </c>
      <c r="B52" s="413"/>
      <c r="D52" s="582"/>
      <c r="E52" s="571"/>
      <c r="F52" s="1154"/>
      <c r="G52" s="571"/>
      <c r="H52" s="1155">
        <v>15</v>
      </c>
    </row>
    <row r="53" spans="1:15" ht="15" customHeight="1">
      <c r="A53" s="604" t="s">
        <v>161</v>
      </c>
      <c r="B53" s="603"/>
      <c r="D53" s="588"/>
      <c r="E53" s="130"/>
      <c r="F53" s="1148"/>
      <c r="G53" s="130"/>
      <c r="H53" s="1103">
        <f>0.0765+0.09+0.05+0.008</f>
        <v>0.22449999999999998</v>
      </c>
    </row>
    <row r="54" spans="1:15" ht="15" customHeight="1">
      <c r="A54" s="1124" t="s">
        <v>162</v>
      </c>
      <c r="B54" s="665"/>
      <c r="C54" s="665"/>
      <c r="D54" s="1125"/>
      <c r="E54" s="665"/>
      <c r="F54" s="1125"/>
      <c r="G54" s="665"/>
      <c r="H54" s="1126">
        <f>SUM(H52:H53)</f>
        <v>15.224500000000001</v>
      </c>
    </row>
    <row r="55" spans="1:15" ht="15" customHeight="1">
      <c r="A55" s="1127" t="s">
        <v>652</v>
      </c>
      <c r="B55" s="1128"/>
      <c r="C55" s="1128"/>
      <c r="D55" s="1129"/>
      <c r="E55" s="1128"/>
      <c r="F55" s="1129"/>
      <c r="G55" s="1128"/>
      <c r="H55" s="1130">
        <f>+H54/20</f>
        <v>0.76122500000000004</v>
      </c>
    </row>
    <row r="56" spans="1:15" ht="15" customHeight="1">
      <c r="A56" s="611"/>
      <c r="B56" s="413"/>
      <c r="C56" s="413"/>
      <c r="D56" s="413"/>
      <c r="E56" s="413"/>
      <c r="F56" s="413"/>
      <c r="G56" s="413"/>
      <c r="H56" s="612"/>
    </row>
    <row r="57" spans="1:15" ht="15" customHeight="1">
      <c r="A57" s="604" t="s">
        <v>392</v>
      </c>
      <c r="B57" s="603"/>
      <c r="C57" s="603"/>
      <c r="D57" s="603"/>
      <c r="E57" s="603"/>
      <c r="F57" s="603"/>
      <c r="G57" s="603"/>
      <c r="H57" s="605"/>
    </row>
    <row r="58" spans="1:15" ht="15" customHeight="1">
      <c r="A58" s="606" t="s">
        <v>402</v>
      </c>
      <c r="B58" s="661"/>
      <c r="C58" s="661"/>
      <c r="D58" s="661"/>
      <c r="E58" s="661"/>
      <c r="F58" s="661"/>
      <c r="G58" s="661"/>
      <c r="H58" s="607"/>
    </row>
    <row r="59" spans="1:15" ht="15" customHeight="1">
      <c r="A59" s="1023"/>
      <c r="B59" s="1016"/>
      <c r="C59" s="1016"/>
      <c r="D59" s="1016"/>
      <c r="E59" s="1016"/>
      <c r="F59" s="1016"/>
      <c r="G59" s="1016"/>
      <c r="H59" s="1024"/>
      <c r="I59" s="1024"/>
      <c r="J59" s="1024"/>
      <c r="K59" s="1025"/>
      <c r="L59" s="1026"/>
      <c r="M59" s="1024"/>
    </row>
    <row r="60" spans="1:15" ht="15" customHeight="1">
      <c r="A60" s="1027"/>
      <c r="B60" s="1016"/>
      <c r="C60" s="1016"/>
      <c r="D60" s="1024"/>
      <c r="E60" s="1024"/>
      <c r="F60" s="1024"/>
      <c r="G60" s="1024"/>
      <c r="H60" s="1024"/>
      <c r="I60" s="1028"/>
      <c r="J60" s="1024"/>
      <c r="K60" s="1024"/>
      <c r="L60" s="1026"/>
      <c r="M60" s="1024"/>
    </row>
    <row r="61" spans="1:15" ht="15" customHeight="1">
      <c r="A61" s="1027"/>
      <c r="B61" s="1017"/>
      <c r="C61" s="1024"/>
      <c r="D61" s="1024"/>
      <c r="E61" s="1024"/>
      <c r="F61" s="1024"/>
      <c r="G61" s="1029"/>
      <c r="H61" s="1024"/>
      <c r="I61" s="1024"/>
      <c r="J61" s="1024"/>
      <c r="K61" s="1028"/>
      <c r="L61" s="1026"/>
      <c r="M61" s="1024"/>
    </row>
    <row r="70" spans="9:9" ht="15" customHeight="1">
      <c r="I70" s="956"/>
    </row>
    <row r="71" spans="9:9" ht="15" customHeight="1">
      <c r="I71" s="956"/>
    </row>
    <row r="72" spans="9:9" ht="15" customHeight="1">
      <c r="I72" s="956"/>
    </row>
    <row r="73" spans="9:9" ht="15" customHeight="1">
      <c r="I73" s="956"/>
    </row>
    <row r="74" spans="9:9" ht="15" customHeight="1">
      <c r="I74" s="956"/>
    </row>
    <row r="75" spans="9:9" ht="15" customHeight="1">
      <c r="I75" s="956"/>
    </row>
    <row r="76" spans="9:9" ht="15" customHeight="1">
      <c r="I76" s="956"/>
    </row>
    <row r="77" spans="9:9" ht="15" customHeight="1">
      <c r="I77" s="956"/>
    </row>
    <row r="78" spans="9:9" ht="15" customHeight="1">
      <c r="I78" s="956"/>
    </row>
    <row r="79" spans="9:9" ht="15" customHeight="1">
      <c r="I79" s="956"/>
    </row>
    <row r="80" spans="9:9" ht="15" customHeight="1">
      <c r="I80" s="956"/>
    </row>
    <row r="81" spans="9:9" ht="15" customHeight="1">
      <c r="I81" s="956"/>
    </row>
    <row r="82" spans="9:9" ht="15" customHeight="1">
      <c r="I82" s="956"/>
    </row>
  </sheetData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1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H15" sqref="H15"/>
    </sheetView>
  </sheetViews>
  <sheetFormatPr defaultRowHeight="12.75"/>
  <cols>
    <col min="2" max="9" width="9.85546875" customWidth="1"/>
  </cols>
  <sheetData>
    <row r="1" spans="1:9" ht="20.25">
      <c r="A1" s="1320" t="s">
        <v>646</v>
      </c>
      <c r="B1" s="1320"/>
      <c r="C1" s="1320"/>
      <c r="D1" s="1320"/>
      <c r="E1" s="1320"/>
      <c r="F1" s="1320"/>
      <c r="G1" s="1320"/>
      <c r="H1" s="1320"/>
      <c r="I1" s="1320"/>
    </row>
    <row r="2" spans="1:9">
      <c r="A2" s="174" t="s">
        <v>46</v>
      </c>
      <c r="B2" s="175" t="s">
        <v>632</v>
      </c>
      <c r="C2" s="175" t="s">
        <v>631</v>
      </c>
      <c r="D2" s="176" t="s">
        <v>626</v>
      </c>
      <c r="E2" s="177" t="s">
        <v>627</v>
      </c>
      <c r="F2" s="176" t="s">
        <v>628</v>
      </c>
      <c r="G2" s="176" t="s">
        <v>629</v>
      </c>
      <c r="H2" s="176" t="s">
        <v>630</v>
      </c>
      <c r="I2" s="176" t="s">
        <v>271</v>
      </c>
    </row>
    <row r="3" spans="1:9">
      <c r="A3" s="272"/>
      <c r="B3" s="282"/>
      <c r="C3" s="282"/>
      <c r="D3" s="283"/>
      <c r="E3" s="284"/>
      <c r="F3" s="283"/>
      <c r="G3" s="283"/>
      <c r="H3" s="283"/>
      <c r="I3" s="274"/>
    </row>
    <row r="4" spans="1:9">
      <c r="A4" s="246" t="s">
        <v>68</v>
      </c>
      <c r="B4" s="178"/>
      <c r="C4" s="178"/>
      <c r="D4" s="179"/>
      <c r="E4" s="180"/>
      <c r="F4" s="179"/>
      <c r="G4" s="179"/>
      <c r="H4" s="182">
        <v>400</v>
      </c>
      <c r="I4" s="248">
        <f>SUM(F4:H4)+D4</f>
        <v>400</v>
      </c>
    </row>
    <row r="5" spans="1:9">
      <c r="A5" s="249" t="s">
        <v>69</v>
      </c>
      <c r="B5" s="184"/>
      <c r="C5" s="184">
        <v>3.2</v>
      </c>
      <c r="D5" s="181"/>
      <c r="E5" s="185"/>
      <c r="F5" s="183">
        <f>Bulldozer*C5</f>
        <v>224</v>
      </c>
      <c r="G5" s="186"/>
      <c r="H5" s="186"/>
      <c r="I5" s="248">
        <f>SUM(F5:H5)+D5</f>
        <v>224</v>
      </c>
    </row>
    <row r="6" spans="1:9">
      <c r="A6" s="249" t="s">
        <v>70</v>
      </c>
      <c r="B6" s="184"/>
      <c r="C6" s="184"/>
      <c r="D6" s="181"/>
      <c r="E6" s="185"/>
      <c r="F6" s="183"/>
      <c r="G6" s="186">
        <f>Lime*3</f>
        <v>105</v>
      </c>
      <c r="H6" s="186"/>
      <c r="I6" s="248">
        <f>SUM(F6:H6)+D6</f>
        <v>105</v>
      </c>
    </row>
    <row r="7" spans="1:9">
      <c r="A7" s="249" t="s">
        <v>71</v>
      </c>
      <c r="B7" s="184"/>
      <c r="C7" s="184"/>
      <c r="D7" s="183"/>
      <c r="E7" s="185"/>
      <c r="F7" s="183"/>
      <c r="G7" s="186"/>
      <c r="H7" s="183">
        <f>RETax</f>
        <v>35</v>
      </c>
      <c r="I7" s="248">
        <f>SUM(F7:H7)+D7</f>
        <v>35</v>
      </c>
    </row>
    <row r="8" spans="1:9">
      <c r="A8" s="249" t="s">
        <v>72</v>
      </c>
      <c r="B8" s="184">
        <v>1</v>
      </c>
      <c r="C8" s="184"/>
      <c r="D8" s="187">
        <f>B8*LaborSkill</f>
        <v>15</v>
      </c>
      <c r="E8" s="185"/>
      <c r="F8" s="183"/>
      <c r="G8" s="186"/>
      <c r="H8" s="183">
        <f>LaborSkill*B8</f>
        <v>15</v>
      </c>
      <c r="I8" s="248">
        <f>SUM(F8:H8)+D8</f>
        <v>30</v>
      </c>
    </row>
    <row r="9" spans="1:9">
      <c r="A9" s="316"/>
      <c r="B9" s="317"/>
      <c r="C9" s="317"/>
      <c r="D9" s="318"/>
      <c r="E9" s="319"/>
      <c r="F9" s="318"/>
      <c r="G9" s="318"/>
      <c r="H9" s="318"/>
      <c r="I9" s="320"/>
    </row>
    <row r="10" spans="1:9">
      <c r="A10" s="267"/>
      <c r="B10" s="321"/>
      <c r="C10" s="321"/>
      <c r="D10" s="269"/>
      <c r="E10" s="270"/>
      <c r="F10" s="269"/>
      <c r="G10" s="269"/>
      <c r="H10" s="269"/>
      <c r="I10" s="271"/>
    </row>
    <row r="11" spans="1:9">
      <c r="A11" s="255" t="s">
        <v>49</v>
      </c>
      <c r="B11" s="256">
        <f>SUM(B3:B9)</f>
        <v>1</v>
      </c>
      <c r="C11" s="256">
        <f>SUM(C3:C9)</f>
        <v>3.2</v>
      </c>
      <c r="D11" s="257">
        <f>SUM(D3:D9)</f>
        <v>15</v>
      </c>
      <c r="E11" s="258"/>
      <c r="F11" s="257">
        <f>SUM(F3:F9)</f>
        <v>224</v>
      </c>
      <c r="G11" s="257">
        <f>SUM(G3:G9)</f>
        <v>105</v>
      </c>
      <c r="H11" s="257">
        <f>SUM(H3:H9)</f>
        <v>450</v>
      </c>
      <c r="I11" s="259">
        <f>SUM(I3:I9)</f>
        <v>794</v>
      </c>
    </row>
  </sheetData>
  <mergeCells count="1">
    <mergeCell ref="A1:I1"/>
  </mergeCells>
  <printOptions horizontalCentered="1"/>
  <pageMargins left="0.5" right="0.5" top="1" bottom="0.5" header="0.5" footer="0.5"/>
  <pageSetup orientation="portrait" r:id="rId1"/>
  <headerFooter alignWithMargins="0">
    <oddHeader>&amp;A</oddHeader>
    <oddFooter>&amp;L&amp; www.APPLES.MSU.EDU  &amp;F&amp;RPage &amp;P&amp; 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5"/>
  <sheetViews>
    <sheetView workbookViewId="0">
      <selection activeCell="H15" sqref="H15"/>
    </sheetView>
  </sheetViews>
  <sheetFormatPr defaultRowHeight="12.75"/>
  <cols>
    <col min="1" max="1" width="16" style="17" customWidth="1"/>
    <col min="2" max="3" width="10" style="30" customWidth="1"/>
    <col min="4" max="4" width="10" style="18" customWidth="1"/>
    <col min="5" max="5" width="10" style="28" customWidth="1"/>
    <col min="6" max="9" width="10" style="18" customWidth="1"/>
    <col min="10" max="16384" width="9.140625" style="17"/>
  </cols>
  <sheetData>
    <row r="1" spans="1:9" ht="20.25">
      <c r="A1" s="1320" t="s">
        <v>646</v>
      </c>
      <c r="B1" s="1320"/>
      <c r="C1" s="1320"/>
      <c r="D1" s="1320"/>
      <c r="E1" s="1320"/>
      <c r="F1" s="1320"/>
      <c r="G1" s="1320"/>
      <c r="H1" s="1320"/>
      <c r="I1" s="1320"/>
    </row>
    <row r="2" spans="1:9" s="173" customFormat="1" ht="11.25">
      <c r="A2" s="174" t="s">
        <v>46</v>
      </c>
      <c r="B2" s="175" t="s">
        <v>632</v>
      </c>
      <c r="C2" s="175" t="s">
        <v>631</v>
      </c>
      <c r="D2" s="176" t="s">
        <v>626</v>
      </c>
      <c r="E2" s="177" t="s">
        <v>627</v>
      </c>
      <c r="F2" s="176" t="s">
        <v>628</v>
      </c>
      <c r="G2" s="176" t="s">
        <v>629</v>
      </c>
      <c r="H2" s="176" t="s">
        <v>630</v>
      </c>
      <c r="I2" s="176" t="s">
        <v>271</v>
      </c>
    </row>
    <row r="3" spans="1:9" s="19" customFormat="1" ht="11.25">
      <c r="A3" s="272"/>
      <c r="B3" s="282"/>
      <c r="C3" s="282"/>
      <c r="D3" s="283"/>
      <c r="E3" s="284"/>
      <c r="F3" s="283"/>
      <c r="G3" s="283"/>
      <c r="H3" s="283"/>
      <c r="I3" s="274"/>
    </row>
    <row r="4" spans="1:9" s="19" customFormat="1" ht="11.25">
      <c r="A4" s="246" t="s">
        <v>68</v>
      </c>
      <c r="B4" s="178"/>
      <c r="C4" s="178"/>
      <c r="D4" s="179"/>
      <c r="E4" s="180"/>
      <c r="F4" s="179"/>
      <c r="G4" s="179"/>
      <c r="H4" s="182">
        <f>+PrepYear!H4</f>
        <v>400</v>
      </c>
      <c r="I4" s="248">
        <f>SUM(F4:H4)+D4</f>
        <v>400</v>
      </c>
    </row>
    <row r="5" spans="1:9" s="19" customFormat="1" ht="11.25">
      <c r="A5" s="249" t="s">
        <v>69</v>
      </c>
      <c r="B5" s="184"/>
      <c r="C5" s="184">
        <f>+PrepYear!C5</f>
        <v>3.2</v>
      </c>
      <c r="D5" s="181"/>
      <c r="E5" s="185"/>
      <c r="F5" s="183">
        <f>+PrepYear!F5</f>
        <v>224</v>
      </c>
      <c r="G5" s="186"/>
      <c r="H5" s="186"/>
      <c r="I5" s="248">
        <f>SUM(F5:H5)+D5</f>
        <v>224</v>
      </c>
    </row>
    <row r="6" spans="1:9" s="19" customFormat="1" ht="11.25">
      <c r="A6" s="249" t="s">
        <v>70</v>
      </c>
      <c r="B6" s="184"/>
      <c r="C6" s="184"/>
      <c r="D6" s="181"/>
      <c r="E6" s="185"/>
      <c r="F6" s="183"/>
      <c r="G6" s="186">
        <f>+PrepYear!G6</f>
        <v>105</v>
      </c>
      <c r="H6" s="186"/>
      <c r="I6" s="248">
        <f>SUM(F6:H6)+D6</f>
        <v>105</v>
      </c>
    </row>
    <row r="7" spans="1:9" s="19" customFormat="1" ht="11.25">
      <c r="A7" s="249" t="s">
        <v>71</v>
      </c>
      <c r="B7" s="184"/>
      <c r="C7" s="184"/>
      <c r="D7" s="183"/>
      <c r="E7" s="185"/>
      <c r="F7" s="183"/>
      <c r="G7" s="186"/>
      <c r="H7" s="183">
        <f>+PrepYear!H7</f>
        <v>35</v>
      </c>
      <c r="I7" s="248">
        <f>SUM(F7:H7)+D7</f>
        <v>35</v>
      </c>
    </row>
    <row r="8" spans="1:9" s="19" customFormat="1" ht="11.25">
      <c r="A8" s="249" t="s">
        <v>72</v>
      </c>
      <c r="B8" s="184">
        <f>+PrepYear!B8</f>
        <v>1</v>
      </c>
      <c r="C8" s="184"/>
      <c r="D8" s="187">
        <f>+PrepYear!D8</f>
        <v>15</v>
      </c>
      <c r="E8" s="185"/>
      <c r="F8" s="183"/>
      <c r="G8" s="186"/>
      <c r="H8" s="183">
        <f>+PrepYear!H8</f>
        <v>15</v>
      </c>
      <c r="I8" s="248">
        <f>SUM(F8:H8)+D8</f>
        <v>30</v>
      </c>
    </row>
    <row r="9" spans="1:9" s="20" customFormat="1" ht="11.25">
      <c r="A9" s="316"/>
      <c r="B9" s="317"/>
      <c r="C9" s="317"/>
      <c r="D9" s="318"/>
      <c r="E9" s="319"/>
      <c r="F9" s="318"/>
      <c r="G9" s="318"/>
      <c r="H9" s="318"/>
      <c r="I9" s="320"/>
    </row>
    <row r="10" spans="1:9" s="20" customFormat="1" ht="11.25">
      <c r="A10" s="267"/>
      <c r="B10" s="321"/>
      <c r="C10" s="321"/>
      <c r="D10" s="269"/>
      <c r="E10" s="270"/>
      <c r="F10" s="269"/>
      <c r="G10" s="269"/>
      <c r="H10" s="269"/>
      <c r="I10" s="271"/>
    </row>
    <row r="11" spans="1:9" s="19" customFormat="1" ht="11.25">
      <c r="A11" s="255" t="s">
        <v>49</v>
      </c>
      <c r="B11" s="256">
        <f>SUM(B3:B9)</f>
        <v>1</v>
      </c>
      <c r="C11" s="256">
        <f>SUM(C3:C9)</f>
        <v>3.2</v>
      </c>
      <c r="D11" s="257">
        <f>SUM(D3:D9)</f>
        <v>15</v>
      </c>
      <c r="E11" s="258"/>
      <c r="F11" s="257">
        <f>SUM(F3:F9)</f>
        <v>224</v>
      </c>
      <c r="G11" s="257">
        <f>SUM(G3:G9)</f>
        <v>105</v>
      </c>
      <c r="H11" s="257">
        <f>SUM(H3:H9)</f>
        <v>450</v>
      </c>
      <c r="I11" s="259">
        <f>SUM(I3:I9)</f>
        <v>794</v>
      </c>
    </row>
    <row r="12" spans="1:9" s="19" customFormat="1" ht="11.25">
      <c r="A12" s="81"/>
      <c r="B12" s="78"/>
      <c r="C12" s="78"/>
      <c r="D12" s="80"/>
      <c r="E12" s="96"/>
      <c r="F12" s="80"/>
      <c r="G12" s="80"/>
      <c r="H12" s="80"/>
      <c r="I12" s="79"/>
    </row>
    <row r="13" spans="1:9" s="19" customFormat="1" ht="11.25">
      <c r="A13" s="81" t="s">
        <v>73</v>
      </c>
      <c r="B13" s="78"/>
      <c r="C13" s="78"/>
      <c r="D13" s="80"/>
      <c r="E13" s="96"/>
      <c r="F13" s="80"/>
      <c r="G13" s="80"/>
      <c r="H13" s="80"/>
      <c r="I13" s="79"/>
    </row>
    <row r="14" spans="1:9" s="19" customFormat="1" ht="11.25">
      <c r="A14" s="81" t="s">
        <v>74</v>
      </c>
      <c r="B14" s="78"/>
      <c r="C14" s="78"/>
      <c r="D14" s="80"/>
      <c r="E14" s="96"/>
      <c r="F14" s="80"/>
      <c r="G14" s="80"/>
      <c r="H14" s="80"/>
      <c r="I14" s="79"/>
    </row>
    <row r="15" spans="1:9" s="19" customFormat="1" ht="11.25">
      <c r="A15" s="81" t="s">
        <v>75</v>
      </c>
      <c r="B15" s="78"/>
      <c r="C15" s="78"/>
      <c r="D15" s="80"/>
      <c r="E15" s="96"/>
      <c r="F15" s="80"/>
      <c r="G15" s="80"/>
      <c r="H15" s="80"/>
      <c r="I15" s="79"/>
    </row>
    <row r="16" spans="1:9" s="19" customFormat="1" ht="11.25">
      <c r="A16" s="1164"/>
      <c r="B16" s="1165"/>
      <c r="C16" s="1165"/>
      <c r="D16" s="1166"/>
      <c r="E16" s="1167"/>
      <c r="F16" s="1166"/>
      <c r="G16" s="1166"/>
      <c r="H16" s="1166"/>
      <c r="I16" s="1168"/>
    </row>
    <row r="17" spans="1:9" ht="20.25">
      <c r="A17" s="1320" t="s">
        <v>76</v>
      </c>
      <c r="B17" s="1320"/>
      <c r="C17" s="1320"/>
      <c r="D17" s="1320"/>
      <c r="E17" s="1320"/>
      <c r="F17" s="1320"/>
      <c r="G17" s="1320"/>
      <c r="H17" s="1320"/>
      <c r="I17" s="1320"/>
    </row>
    <row r="18" spans="1:9" s="173" customFormat="1" ht="11.25">
      <c r="A18" s="174" t="s">
        <v>46</v>
      </c>
      <c r="B18" s="175" t="s">
        <v>632</v>
      </c>
      <c r="C18" s="175" t="s">
        <v>631</v>
      </c>
      <c r="D18" s="176" t="s">
        <v>626</v>
      </c>
      <c r="E18" s="177" t="s">
        <v>627</v>
      </c>
      <c r="F18" s="176" t="s">
        <v>628</v>
      </c>
      <c r="G18" s="176" t="s">
        <v>629</v>
      </c>
      <c r="H18" s="176" t="s">
        <v>630</v>
      </c>
      <c r="I18" s="176" t="s">
        <v>271</v>
      </c>
    </row>
    <row r="19" spans="1:9" s="22" customFormat="1" ht="11.25">
      <c r="A19" s="285"/>
      <c r="B19" s="286"/>
      <c r="C19" s="286"/>
      <c r="D19" s="287"/>
      <c r="E19" s="288"/>
      <c r="F19" s="287"/>
      <c r="G19" s="287"/>
      <c r="H19" s="287"/>
      <c r="I19" s="289"/>
    </row>
    <row r="20" spans="1:9" s="23" customFormat="1">
      <c r="A20" s="250" t="s">
        <v>77</v>
      </c>
      <c r="B20" s="190"/>
      <c r="C20" s="190"/>
      <c r="D20" s="191"/>
      <c r="E20" s="192"/>
      <c r="F20" s="193"/>
      <c r="G20" s="193"/>
      <c r="H20" s="193"/>
      <c r="I20" s="275"/>
    </row>
    <row r="21" spans="1:9" s="23" customFormat="1" ht="11.25">
      <c r="A21" s="253" t="s">
        <v>78</v>
      </c>
      <c r="B21" s="194">
        <v>0.5</v>
      </c>
      <c r="C21" s="195">
        <f>B21</f>
        <v>0.5</v>
      </c>
      <c r="D21" s="187">
        <f>B21*LaborSkill</f>
        <v>7.5</v>
      </c>
      <c r="E21" s="196">
        <v>2</v>
      </c>
      <c r="F21" s="187">
        <f>IF(E21&gt;0,VLOOKUP(E21,EquipCost,15)*C21,0)</f>
        <v>11.855</v>
      </c>
      <c r="G21" s="197"/>
      <c r="H21" s="197"/>
      <c r="I21" s="251">
        <f>SUM(F21:H21)+D21</f>
        <v>19.355</v>
      </c>
    </row>
    <row r="22" spans="1:9" s="23" customFormat="1" ht="11.25">
      <c r="A22" s="253" t="s">
        <v>79</v>
      </c>
      <c r="B22" s="194"/>
      <c r="C22" s="195">
        <f>B21</f>
        <v>0.5</v>
      </c>
      <c r="D22" s="187"/>
      <c r="E22" s="196">
        <v>8</v>
      </c>
      <c r="F22" s="187">
        <f>IF(E22&gt;0,VLOOKUP(E22,EquipCost,15)*C22,0)</f>
        <v>2.2238888888888888</v>
      </c>
      <c r="G22" s="197"/>
      <c r="H22" s="197"/>
      <c r="I22" s="251">
        <f>SUM(F22:H22)+D22</f>
        <v>2.2238888888888888</v>
      </c>
    </row>
    <row r="23" spans="1:9" s="23" customFormat="1" ht="11.25">
      <c r="A23" s="253" t="s">
        <v>78</v>
      </c>
      <c r="B23" s="194">
        <v>0.3</v>
      </c>
      <c r="C23" s="195">
        <f>B23</f>
        <v>0.3</v>
      </c>
      <c r="D23" s="187">
        <f>B23*LaborSkill</f>
        <v>4.5</v>
      </c>
      <c r="E23" s="196">
        <v>2</v>
      </c>
      <c r="F23" s="187">
        <f>IF(E23&gt;0,VLOOKUP(E23,EquipCost,15)*C23,0)</f>
        <v>7.1130000000000004</v>
      </c>
      <c r="G23" s="197"/>
      <c r="H23" s="197"/>
      <c r="I23" s="251">
        <f>SUM(F23:H23)+D23</f>
        <v>11.613</v>
      </c>
    </row>
    <row r="24" spans="1:9" s="23" customFormat="1" ht="11.25">
      <c r="A24" s="253" t="s">
        <v>80</v>
      </c>
      <c r="B24" s="194"/>
      <c r="C24" s="195">
        <f>B23</f>
        <v>0.3</v>
      </c>
      <c r="D24" s="187"/>
      <c r="E24" s="196">
        <v>9</v>
      </c>
      <c r="F24" s="187">
        <f>IF(E24&gt;0,VLOOKUP(E24,EquipCost,15)*C24,0)</f>
        <v>1.6300000000000001</v>
      </c>
      <c r="G24" s="197"/>
      <c r="H24" s="197"/>
      <c r="I24" s="251">
        <f>SUM(F24:H24)+D24</f>
        <v>1.6300000000000001</v>
      </c>
    </row>
    <row r="25" spans="1:9" s="23" customFormat="1" ht="11.25">
      <c r="A25" s="253" t="s">
        <v>81</v>
      </c>
      <c r="B25" s="194">
        <v>3</v>
      </c>
      <c r="C25" s="195">
        <f>B25</f>
        <v>3</v>
      </c>
      <c r="D25" s="187">
        <f>B25*LaborNoSkill</f>
        <v>27</v>
      </c>
      <c r="E25" s="196">
        <v>15</v>
      </c>
      <c r="F25" s="187">
        <f>IF(E25&gt;0,VLOOKUP(E25,EquipCost,15)*C25,0)</f>
        <v>25.331249999999997</v>
      </c>
      <c r="G25" s="197"/>
      <c r="H25" s="197"/>
      <c r="I25" s="251">
        <f>SUM(F25:H25)+D25</f>
        <v>52.331249999999997</v>
      </c>
    </row>
    <row r="26" spans="1:9" s="23" customFormat="1" ht="11.25">
      <c r="A26" s="250" t="s">
        <v>82</v>
      </c>
      <c r="B26" s="194"/>
      <c r="C26" s="195"/>
      <c r="D26" s="187"/>
      <c r="E26" s="196"/>
      <c r="F26" s="187"/>
      <c r="G26" s="197"/>
      <c r="H26" s="197"/>
      <c r="I26" s="251"/>
    </row>
    <row r="27" spans="1:9" s="23" customFormat="1" ht="11.25">
      <c r="A27" s="253" t="s">
        <v>83</v>
      </c>
      <c r="B27" s="194">
        <v>0.5</v>
      </c>
      <c r="C27" s="195">
        <f>B27</f>
        <v>0.5</v>
      </c>
      <c r="D27" s="187">
        <f>B27*LaborSkill</f>
        <v>7.5</v>
      </c>
      <c r="E27" s="196">
        <v>1</v>
      </c>
      <c r="F27" s="187">
        <f>IF(E27&gt;0,VLOOKUP(E27,EquipCost,15)*C27,0)</f>
        <v>7.6260000000000003</v>
      </c>
      <c r="G27" s="197"/>
      <c r="H27" s="197"/>
      <c r="I27" s="251">
        <f t="shared" ref="I27:I35" si="0">SUM(F27:H27)+D27</f>
        <v>15.126000000000001</v>
      </c>
    </row>
    <row r="28" spans="1:9" s="23" customFormat="1" ht="11.25">
      <c r="A28" s="253" t="s">
        <v>84</v>
      </c>
      <c r="B28" s="194">
        <v>0.5</v>
      </c>
      <c r="C28" s="195">
        <v>0.5</v>
      </c>
      <c r="D28" s="187">
        <f>B28*LaborSkill</f>
        <v>7.5</v>
      </c>
      <c r="E28" s="196">
        <v>1</v>
      </c>
      <c r="F28" s="187">
        <f>IF(E28&gt;0,VLOOKUP(E28,EquipCost,15)*C28,0)</f>
        <v>7.6260000000000003</v>
      </c>
      <c r="G28" s="198"/>
      <c r="H28" s="198"/>
      <c r="I28" s="251">
        <f t="shared" si="0"/>
        <v>15.126000000000001</v>
      </c>
    </row>
    <row r="29" spans="1:9" s="23" customFormat="1" ht="11.25">
      <c r="A29" s="253" t="s">
        <v>85</v>
      </c>
      <c r="B29" s="194"/>
      <c r="C29" s="195"/>
      <c r="D29" s="187"/>
      <c r="E29" s="196"/>
      <c r="F29" s="187"/>
      <c r="G29" s="187">
        <f>CLTree*TreeCost</f>
        <v>1512.5</v>
      </c>
      <c r="H29" s="198"/>
      <c r="I29" s="251">
        <f t="shared" si="0"/>
        <v>1512.5</v>
      </c>
    </row>
    <row r="30" spans="1:9" s="23" customFormat="1" ht="11.25">
      <c r="A30" s="253" t="s">
        <v>86</v>
      </c>
      <c r="B30" s="194"/>
      <c r="C30" s="195"/>
      <c r="D30" s="187"/>
      <c r="E30" s="196"/>
      <c r="F30" s="187"/>
      <c r="G30" s="198"/>
      <c r="H30" s="187">
        <f>VATree*CustomPlant</f>
        <v>186.68571428571428</v>
      </c>
      <c r="I30" s="251">
        <f t="shared" si="0"/>
        <v>186.68571428571428</v>
      </c>
    </row>
    <row r="31" spans="1:9" s="23" customFormat="1" ht="11.25">
      <c r="A31" s="250" t="s">
        <v>87</v>
      </c>
      <c r="B31" s="194">
        <v>2</v>
      </c>
      <c r="C31" s="195">
        <f>+B31</f>
        <v>2</v>
      </c>
      <c r="D31" s="187">
        <f>B31*LaborNoSkill</f>
        <v>18</v>
      </c>
      <c r="E31" s="196">
        <v>13</v>
      </c>
      <c r="F31" s="187">
        <f>IF(E31&gt;0,VLOOKUP(E31,EquipCost,15)*C31,0)</f>
        <v>13.347999999999999</v>
      </c>
      <c r="G31" s="197"/>
      <c r="H31" s="197"/>
      <c r="I31" s="251">
        <f t="shared" si="0"/>
        <v>31.347999999999999</v>
      </c>
    </row>
    <row r="32" spans="1:9" s="23" customFormat="1" ht="11.25">
      <c r="A32" s="253" t="s">
        <v>88</v>
      </c>
      <c r="B32" s="194"/>
      <c r="C32" s="195">
        <f>+B32</f>
        <v>0</v>
      </c>
      <c r="D32" s="187"/>
      <c r="E32" s="196">
        <v>3</v>
      </c>
      <c r="F32" s="187">
        <f>IF(E32&gt;0,VLOOKUP(E32,EquipCost,15)*C32,0)</f>
        <v>0</v>
      </c>
      <c r="G32" s="197"/>
      <c r="H32" s="197"/>
      <c r="I32" s="251">
        <f t="shared" si="0"/>
        <v>0</v>
      </c>
    </row>
    <row r="33" spans="1:9" s="19" customFormat="1" ht="11.25">
      <c r="A33" s="247" t="s">
        <v>89</v>
      </c>
      <c r="B33" s="188">
        <f>+CLTrain1</f>
        <v>5</v>
      </c>
      <c r="C33" s="188">
        <v>2</v>
      </c>
      <c r="D33" s="187">
        <f>B33*LaborNoSkill</f>
        <v>45</v>
      </c>
      <c r="E33" s="185">
        <v>1</v>
      </c>
      <c r="F33" s="187">
        <f>IF(E33&gt;0,VLOOKUP(E33,EquipCost,15)*C33,0)</f>
        <v>30.504000000000001</v>
      </c>
      <c r="G33" s="186">
        <f>+CLTrainMat1</f>
        <v>10</v>
      </c>
      <c r="H33" s="186"/>
      <c r="I33" s="248">
        <f t="shared" si="0"/>
        <v>85.504000000000005</v>
      </c>
    </row>
    <row r="34" spans="1:9" s="19" customFormat="1" ht="11.25">
      <c r="A34" s="247" t="s">
        <v>90</v>
      </c>
      <c r="B34" s="188">
        <f>+CLPrune1</f>
        <v>0</v>
      </c>
      <c r="C34" s="188">
        <f>+B34</f>
        <v>0</v>
      </c>
      <c r="D34" s="187">
        <f>B34*LaborNoSkill</f>
        <v>0</v>
      </c>
      <c r="E34" s="185">
        <v>18</v>
      </c>
      <c r="F34" s="187">
        <f>IF(E34&gt;0,VLOOKUP(E34,EquipCost,15)*C34,0)</f>
        <v>0</v>
      </c>
      <c r="G34" s="186"/>
      <c r="H34" s="186"/>
      <c r="I34" s="248">
        <f t="shared" si="0"/>
        <v>0</v>
      </c>
    </row>
    <row r="35" spans="1:9" s="21" customFormat="1" ht="11.25">
      <c r="A35" s="253" t="s">
        <v>91</v>
      </c>
      <c r="B35" s="199"/>
      <c r="C35" s="199"/>
      <c r="D35" s="200"/>
      <c r="E35" s="201"/>
      <c r="F35" s="187"/>
      <c r="G35" s="200"/>
      <c r="H35" s="200"/>
      <c r="I35" s="276">
        <f t="shared" si="0"/>
        <v>0</v>
      </c>
    </row>
    <row r="36" spans="1:9" s="23" customFormat="1" ht="11.25">
      <c r="A36" s="250" t="s">
        <v>92</v>
      </c>
      <c r="B36" s="194"/>
      <c r="C36" s="195"/>
      <c r="D36" s="187"/>
      <c r="E36" s="196"/>
      <c r="F36" s="187"/>
      <c r="G36" s="197"/>
      <c r="H36" s="197"/>
      <c r="I36" s="251"/>
    </row>
    <row r="37" spans="1:9" s="21" customFormat="1" ht="11.25">
      <c r="A37" s="253" t="s">
        <v>88</v>
      </c>
      <c r="B37" s="194">
        <f>+CLHerbTime</f>
        <v>0.8</v>
      </c>
      <c r="C37" s="195">
        <f>+B37</f>
        <v>0.8</v>
      </c>
      <c r="D37" s="187">
        <f>B37*LaborSkill</f>
        <v>12</v>
      </c>
      <c r="E37" s="196">
        <v>3</v>
      </c>
      <c r="F37" s="187">
        <f>IF(E37&gt;0,VLOOKUP(E37,EquipCost,15)*C37,0)</f>
        <v>9.7240000000000002</v>
      </c>
      <c r="G37" s="197"/>
      <c r="H37" s="197"/>
      <c r="I37" s="251">
        <f>SUM(F37:H37)+D37</f>
        <v>21.724</v>
      </c>
    </row>
    <row r="38" spans="1:9" s="21" customFormat="1" ht="11.25">
      <c r="A38" s="253" t="s">
        <v>93</v>
      </c>
      <c r="B38" s="194"/>
      <c r="C38" s="195">
        <f>+C37</f>
        <v>0.8</v>
      </c>
      <c r="D38" s="187"/>
      <c r="E38" s="196">
        <v>5</v>
      </c>
      <c r="F38" s="187">
        <f>IF(E38&gt;0,VLOOKUP(E38,EquipCost,15)*C38,0)</f>
        <v>3.5453333333333337</v>
      </c>
      <c r="G38" s="197">
        <f>+CLHerb1</f>
        <v>6.955591435185184</v>
      </c>
      <c r="H38" s="197"/>
      <c r="I38" s="251">
        <f>SUM(F38:H38)+D38</f>
        <v>10.500924768518518</v>
      </c>
    </row>
    <row r="39" spans="1:9" s="23" customFormat="1" ht="11.25">
      <c r="A39" s="250" t="s">
        <v>94</v>
      </c>
      <c r="B39" s="194"/>
      <c r="C39" s="195"/>
      <c r="D39" s="187"/>
      <c r="E39" s="196"/>
      <c r="F39" s="187"/>
      <c r="G39" s="197"/>
      <c r="H39" s="197"/>
      <c r="I39" s="251"/>
    </row>
    <row r="40" spans="1:9" s="21" customFormat="1" ht="11.25">
      <c r="A40" s="253" t="s">
        <v>95</v>
      </c>
      <c r="B40" s="194">
        <f>+CLSprayTime1</f>
        <v>0.18</v>
      </c>
      <c r="C40" s="195">
        <f>+B40</f>
        <v>0.18</v>
      </c>
      <c r="D40" s="187">
        <f>B40*LaborSkill</f>
        <v>2.6999999999999997</v>
      </c>
      <c r="E40" s="196">
        <v>2</v>
      </c>
      <c r="F40" s="187">
        <f>IF(E40&gt;0,VLOOKUP(E40,EquipCost,15)*C40,0)</f>
        <v>4.2678000000000003</v>
      </c>
      <c r="G40" s="197">
        <f>+CLSprayMat1</f>
        <v>51.595478980654754</v>
      </c>
      <c r="H40" s="197"/>
      <c r="I40" s="251">
        <f>SUM(F40:H40)+D40</f>
        <v>58.563278980654758</v>
      </c>
    </row>
    <row r="41" spans="1:9" s="21" customFormat="1" ht="11.25">
      <c r="A41" s="253" t="s">
        <v>96</v>
      </c>
      <c r="B41" s="194"/>
      <c r="C41" s="195">
        <f>+C40</f>
        <v>0.18</v>
      </c>
      <c r="D41" s="187"/>
      <c r="E41" s="196">
        <v>4</v>
      </c>
      <c r="F41" s="187">
        <f>IF(E41&gt;0,VLOOKUP(E41,EquipCost,15)*C41,0)</f>
        <v>1.8584999999999998</v>
      </c>
      <c r="G41" s="197"/>
      <c r="H41" s="197"/>
      <c r="I41" s="251">
        <f>SUM(F41:H41)+D41</f>
        <v>1.8584999999999998</v>
      </c>
    </row>
    <row r="42" spans="1:9" s="22" customFormat="1">
      <c r="A42" s="250" t="s">
        <v>97</v>
      </c>
      <c r="B42" s="194"/>
      <c r="C42" s="195"/>
      <c r="D42" s="187"/>
      <c r="E42" s="196"/>
      <c r="F42" s="187"/>
      <c r="G42" s="202"/>
      <c r="H42" s="197"/>
      <c r="I42" s="251">
        <f>SUM(F42:H42)+D42</f>
        <v>0</v>
      </c>
    </row>
    <row r="43" spans="1:9" s="22" customFormat="1" ht="11.25">
      <c r="A43" s="253" t="s">
        <v>88</v>
      </c>
      <c r="B43" s="194">
        <f>+CLFertTime1</f>
        <v>0.1</v>
      </c>
      <c r="C43" s="195">
        <f>+B43</f>
        <v>0.1</v>
      </c>
      <c r="D43" s="187">
        <f>B43*LaborNoSkill</f>
        <v>0.9</v>
      </c>
      <c r="E43" s="196">
        <v>3</v>
      </c>
      <c r="F43" s="187">
        <f>IF(E43&gt;0,VLOOKUP(E43,EquipCost,15)*C43,0)</f>
        <v>1.2155</v>
      </c>
      <c r="G43" s="187">
        <f>+CLFert1</f>
        <v>1.2604166666666665</v>
      </c>
      <c r="H43" s="197"/>
      <c r="I43" s="251">
        <f>SUM(F43:H43)+D43</f>
        <v>3.3759166666666665</v>
      </c>
    </row>
    <row r="44" spans="1:9" s="22" customFormat="1" ht="11.25">
      <c r="A44" s="253" t="s">
        <v>98</v>
      </c>
      <c r="B44" s="194"/>
      <c r="C44" s="195">
        <v>0.2</v>
      </c>
      <c r="D44" s="187"/>
      <c r="E44" s="196">
        <v>6</v>
      </c>
      <c r="F44" s="187">
        <f>IF(E44&gt;0,VLOOKUP(E44,EquipCost,15)*C44,0)</f>
        <v>0.62704761904761908</v>
      </c>
      <c r="G44" s="197"/>
      <c r="H44" s="197"/>
      <c r="I44" s="251">
        <f>SUM(F44:H44)+D44</f>
        <v>0.62704761904761908</v>
      </c>
    </row>
    <row r="45" spans="1:9" s="21" customFormat="1" ht="11.25">
      <c r="A45" s="250" t="s">
        <v>99</v>
      </c>
      <c r="B45" s="194"/>
      <c r="C45" s="195"/>
      <c r="D45" s="187"/>
      <c r="E45" s="196"/>
      <c r="F45" s="187"/>
      <c r="G45" s="197"/>
      <c r="H45" s="197"/>
      <c r="I45" s="251"/>
    </row>
    <row r="46" spans="1:9" s="19" customFormat="1" ht="11.25">
      <c r="A46" s="253" t="s">
        <v>88</v>
      </c>
      <c r="B46" s="194">
        <v>0.3</v>
      </c>
      <c r="C46" s="195">
        <f>0.3*3</f>
        <v>0.89999999999999991</v>
      </c>
      <c r="D46" s="187">
        <f>B46*LaborSkill</f>
        <v>4.5</v>
      </c>
      <c r="E46" s="196">
        <v>3</v>
      </c>
      <c r="F46" s="187">
        <f>IF(E46&gt;0,VLOOKUP(E46,EquipCost,15)*C46,0)</f>
        <v>10.939499999999999</v>
      </c>
      <c r="G46" s="197"/>
      <c r="H46" s="197"/>
      <c r="I46" s="251">
        <f>SUM(F46:H46)+D46</f>
        <v>15.439499999999999</v>
      </c>
    </row>
    <row r="47" spans="1:9" s="19" customFormat="1" ht="11.25">
      <c r="A47" s="253" t="s">
        <v>100</v>
      </c>
      <c r="B47" s="194"/>
      <c r="C47" s="195">
        <f>+B46</f>
        <v>0.3</v>
      </c>
      <c r="D47" s="187"/>
      <c r="E47" s="196">
        <v>6</v>
      </c>
      <c r="F47" s="187">
        <f>IF(E47&gt;0,VLOOKUP(E47,EquipCost,15)*C47,0)</f>
        <v>0.94057142857142861</v>
      </c>
      <c r="G47" s="197">
        <v>11</v>
      </c>
      <c r="H47" s="197"/>
      <c r="I47" s="251">
        <f>SUM(F47:H47)+D47</f>
        <v>11.940571428571429</v>
      </c>
    </row>
    <row r="48" spans="1:9" s="19" customFormat="1" ht="11.25">
      <c r="A48" s="253" t="s">
        <v>101</v>
      </c>
      <c r="B48" s="194">
        <v>0.3</v>
      </c>
      <c r="C48" s="195">
        <f>B48</f>
        <v>0.3</v>
      </c>
      <c r="D48" s="187">
        <f>B48*LaborNoSkill</f>
        <v>2.6999999999999997</v>
      </c>
      <c r="E48" s="196">
        <v>12</v>
      </c>
      <c r="F48" s="187">
        <f>IF(E48&gt;0,VLOOKUP(E48,EquipCost,15)*C48,0)</f>
        <v>2.1159999999999997</v>
      </c>
      <c r="G48" s="197"/>
      <c r="H48" s="197"/>
      <c r="I48" s="251">
        <f>SUM(F48:H48)+D48</f>
        <v>4.8159999999999989</v>
      </c>
    </row>
    <row r="49" spans="1:9" s="19" customFormat="1" ht="11.25">
      <c r="A49" s="253" t="s">
        <v>102</v>
      </c>
      <c r="B49" s="194">
        <v>0.3</v>
      </c>
      <c r="C49" s="195">
        <f>B49</f>
        <v>0.3</v>
      </c>
      <c r="D49" s="187">
        <f>B49*LaborNoSkill</f>
        <v>2.6999999999999997</v>
      </c>
      <c r="E49" s="196">
        <v>12</v>
      </c>
      <c r="F49" s="187">
        <f>IF(E49&gt;0,VLOOKUP(E49,EquipCost,15)*C49,0)</f>
        <v>2.1159999999999997</v>
      </c>
      <c r="G49" s="197"/>
      <c r="H49" s="197"/>
      <c r="I49" s="251">
        <f>SUM(F49:H49)+D49</f>
        <v>4.8159999999999989</v>
      </c>
    </row>
    <row r="50" spans="1:9" s="22" customFormat="1">
      <c r="A50" s="247" t="s">
        <v>103</v>
      </c>
      <c r="B50" s="203"/>
      <c r="C50" s="195"/>
      <c r="D50" s="187"/>
      <c r="E50" s="196"/>
      <c r="F50" s="187"/>
      <c r="G50" s="197"/>
      <c r="H50" s="197"/>
      <c r="I50" s="251"/>
    </row>
    <row r="51" spans="1:9" s="22" customFormat="1" ht="11.25">
      <c r="A51" s="249" t="s">
        <v>88</v>
      </c>
      <c r="B51" s="184">
        <f>+CLMowTime1</f>
        <v>0</v>
      </c>
      <c r="C51" s="188">
        <f>B51</f>
        <v>0</v>
      </c>
      <c r="D51" s="187">
        <f>+B51*LaborNoSkill</f>
        <v>0</v>
      </c>
      <c r="E51" s="185">
        <v>3</v>
      </c>
      <c r="F51" s="187">
        <f>IF(E51&gt;0,VLOOKUP(E51,EquipCost,15)*C51,0)</f>
        <v>0</v>
      </c>
      <c r="G51" s="186"/>
      <c r="H51" s="186"/>
      <c r="I51" s="248">
        <f>SUM(F51:H51)+D51</f>
        <v>0</v>
      </c>
    </row>
    <row r="52" spans="1:9" s="22" customFormat="1" ht="11.25">
      <c r="A52" s="246" t="s">
        <v>104</v>
      </c>
      <c r="B52" s="204"/>
      <c r="C52" s="188">
        <f>B51</f>
        <v>0</v>
      </c>
      <c r="D52" s="187"/>
      <c r="E52" s="185">
        <v>7</v>
      </c>
      <c r="F52" s="187">
        <f>IF(E52&gt;0,VLOOKUP(E52,EquipCost,15)*C52,0)</f>
        <v>0</v>
      </c>
      <c r="G52" s="186"/>
      <c r="H52" s="186"/>
      <c r="I52" s="248">
        <f>SUM(F52:H52)+D52</f>
        <v>0</v>
      </c>
    </row>
    <row r="53" spans="1:9" s="7" customFormat="1">
      <c r="A53" s="247" t="s">
        <v>105</v>
      </c>
      <c r="B53" s="184"/>
      <c r="C53" s="188"/>
      <c r="D53" s="187"/>
      <c r="E53" s="185"/>
      <c r="F53" s="187"/>
      <c r="G53" s="186"/>
      <c r="H53" s="186"/>
      <c r="I53" s="248"/>
    </row>
    <row r="54" spans="1:9" s="7" customFormat="1">
      <c r="A54" s="249" t="s">
        <v>88</v>
      </c>
      <c r="B54" s="194">
        <f>+CLBaitTime1</f>
        <v>0.11764705882352941</v>
      </c>
      <c r="C54" s="188">
        <f>+B54</f>
        <v>0.11764705882352941</v>
      </c>
      <c r="D54" s="187">
        <f>+B54*LaborNoSkill</f>
        <v>1.0588235294117647</v>
      </c>
      <c r="E54" s="185">
        <v>3</v>
      </c>
      <c r="F54" s="187">
        <f>IF(E54&gt;0,VLOOKUP(E54,EquipCost,15)*C54,0)</f>
        <v>1.43</v>
      </c>
      <c r="G54" s="186"/>
      <c r="H54" s="186"/>
      <c r="I54" s="248">
        <f>SUM(F54:H54)+D54</f>
        <v>2.4888235294117647</v>
      </c>
    </row>
    <row r="55" spans="1:9" s="23" customFormat="1" ht="11.25">
      <c r="A55" s="249" t="s">
        <v>98</v>
      </c>
      <c r="B55" s="205"/>
      <c r="C55" s="195">
        <f>+B54</f>
        <v>0.11764705882352941</v>
      </c>
      <c r="D55" s="187"/>
      <c r="E55" s="196">
        <v>6</v>
      </c>
      <c r="F55" s="187">
        <f>IF(E55&gt;0,VLOOKUP(E55,EquipCost,15)*C55,0)</f>
        <v>0.36885154061624653</v>
      </c>
      <c r="G55" s="197">
        <f>+CLBait1</f>
        <v>5.5</v>
      </c>
      <c r="H55" s="197"/>
      <c r="I55" s="251">
        <f>SUM(F55:H55)+D55</f>
        <v>5.8688515406162463</v>
      </c>
    </row>
    <row r="56" spans="1:9" s="23" customFormat="1" ht="11.25">
      <c r="A56" s="253" t="s">
        <v>106</v>
      </c>
      <c r="B56" s="195">
        <v>5</v>
      </c>
      <c r="C56" s="195"/>
      <c r="D56" s="187">
        <f>+B56*LaborNoSkill</f>
        <v>45</v>
      </c>
      <c r="E56" s="201"/>
      <c r="F56" s="187"/>
      <c r="G56" s="187">
        <f>+'Factors &amp; Yield'!C11*CLTree</f>
        <v>50.416666666666664</v>
      </c>
      <c r="H56" s="198"/>
      <c r="I56" s="251">
        <f>SUM(F56:G56)+D56</f>
        <v>95.416666666666657</v>
      </c>
    </row>
    <row r="57" spans="1:9" s="22" customFormat="1" ht="11.25">
      <c r="A57" s="253" t="s">
        <v>107</v>
      </c>
      <c r="B57" s="194">
        <v>0.3</v>
      </c>
      <c r="C57" s="195">
        <f>B57</f>
        <v>0.3</v>
      </c>
      <c r="D57" s="187">
        <f>B57*LaborNoSkill</f>
        <v>2.6999999999999997</v>
      </c>
      <c r="E57" s="196">
        <v>1</v>
      </c>
      <c r="F57" s="187">
        <f>IF(E57&gt;0,VLOOKUP(E57,EquipCost,15)*C57,0)</f>
        <v>4.5755999999999997</v>
      </c>
      <c r="G57" s="187">
        <f>+CLWild*CLTree</f>
        <v>10.083333333333334</v>
      </c>
      <c r="H57" s="197"/>
      <c r="I57" s="251">
        <f>SUM(F57:H57)+D57</f>
        <v>17.358933333333333</v>
      </c>
    </row>
    <row r="58" spans="1:9">
      <c r="A58" s="246" t="s">
        <v>108</v>
      </c>
      <c r="B58" s="206"/>
      <c r="C58" s="206"/>
      <c r="D58" s="181"/>
      <c r="E58" s="207"/>
      <c r="F58" s="181"/>
      <c r="G58" s="181"/>
      <c r="H58" s="181"/>
      <c r="I58" s="251">
        <f>SUM(F58:H58)+D58</f>
        <v>0</v>
      </c>
    </row>
    <row r="59" spans="1:9">
      <c r="A59" s="246" t="s">
        <v>109</v>
      </c>
      <c r="B59" s="206"/>
      <c r="C59" s="206"/>
      <c r="D59" s="181"/>
      <c r="E59" s="207"/>
      <c r="F59" s="181"/>
      <c r="G59" s="181"/>
      <c r="H59" s="181"/>
      <c r="I59" s="251">
        <f>SUM(F59:H59)+D59</f>
        <v>0</v>
      </c>
    </row>
    <row r="60" spans="1:9" s="19" customFormat="1" ht="11.25">
      <c r="A60" s="253" t="s">
        <v>71</v>
      </c>
      <c r="B60" s="194"/>
      <c r="C60" s="194"/>
      <c r="D60" s="187"/>
      <c r="E60" s="196"/>
      <c r="F60" s="187"/>
      <c r="G60" s="197"/>
      <c r="H60" s="187">
        <f>+RETax</f>
        <v>35</v>
      </c>
      <c r="I60" s="251">
        <f>SUM(F60:H60)+D60</f>
        <v>35</v>
      </c>
    </row>
    <row r="61" spans="1:9" s="19" customFormat="1" ht="11.25">
      <c r="A61" s="277" t="s">
        <v>72</v>
      </c>
      <c r="B61" s="278">
        <v>2</v>
      </c>
      <c r="C61" s="278"/>
      <c r="D61" s="262">
        <f>B61*LaborSkill</f>
        <v>30</v>
      </c>
      <c r="E61" s="279"/>
      <c r="F61" s="262">
        <f>IF(E61&gt;0,VLOOKUP(E61,EquipCost,15)*C61,0)</f>
        <v>0</v>
      </c>
      <c r="G61" s="280"/>
      <c r="H61" s="262">
        <f>+other</f>
        <v>12.5</v>
      </c>
      <c r="I61" s="281">
        <f>SUM(F61:H61)+D61</f>
        <v>42.5</v>
      </c>
    </row>
    <row r="62" spans="1:9" s="22" customFormat="1" ht="11.25">
      <c r="A62" s="267"/>
      <c r="B62" s="268"/>
      <c r="C62" s="268"/>
      <c r="D62" s="269"/>
      <c r="E62" s="270"/>
      <c r="F62" s="269"/>
      <c r="G62" s="269"/>
      <c r="H62" s="269"/>
      <c r="I62" s="271"/>
    </row>
    <row r="63" spans="1:9" s="22" customFormat="1" ht="11.25">
      <c r="A63" s="255" t="s">
        <v>49</v>
      </c>
      <c r="B63" s="256">
        <f>SUM(B19:B62)</f>
        <v>21.197647058823531</v>
      </c>
      <c r="C63" s="256">
        <f>SUM(C19:C62)</f>
        <v>14.195294117647061</v>
      </c>
      <c r="D63" s="257">
        <f>SUM(D19:D62)</f>
        <v>221.25882352941173</v>
      </c>
      <c r="E63" s="258"/>
      <c r="F63" s="257">
        <f>SUM(F19:F62)</f>
        <v>150.98184281045755</v>
      </c>
      <c r="G63" s="257">
        <f>SUM(G19:G62)</f>
        <v>1659.3114870825066</v>
      </c>
      <c r="H63" s="257">
        <f>SUM(H19:H62)</f>
        <v>234.18571428571428</v>
      </c>
      <c r="I63" s="259">
        <f>SUM(I19:I62)</f>
        <v>2265.7378677080887</v>
      </c>
    </row>
    <row r="64" spans="1:9" s="22" customFormat="1" ht="20.25">
      <c r="A64" s="1320" t="s">
        <v>634</v>
      </c>
      <c r="B64" s="1320"/>
      <c r="C64" s="1320"/>
      <c r="D64" s="1320"/>
      <c r="E64" s="1320"/>
      <c r="F64" s="1320"/>
      <c r="G64" s="1320"/>
      <c r="H64" s="1320"/>
      <c r="I64" s="1320"/>
    </row>
    <row r="65" spans="1:9" s="173" customFormat="1" ht="11.25">
      <c r="A65" s="174" t="s">
        <v>46</v>
      </c>
      <c r="B65" s="175" t="s">
        <v>632</v>
      </c>
      <c r="C65" s="175" t="s">
        <v>631</v>
      </c>
      <c r="D65" s="176" t="s">
        <v>626</v>
      </c>
      <c r="E65" s="177" t="s">
        <v>627</v>
      </c>
      <c r="F65" s="176" t="s">
        <v>628</v>
      </c>
      <c r="G65" s="176" t="s">
        <v>629</v>
      </c>
      <c r="H65" s="176" t="s">
        <v>630</v>
      </c>
      <c r="I65" s="176" t="s">
        <v>271</v>
      </c>
    </row>
    <row r="66" spans="1:9">
      <c r="A66" s="299"/>
      <c r="B66" s="290"/>
      <c r="C66" s="290"/>
      <c r="D66" s="291"/>
      <c r="E66" s="292"/>
      <c r="F66" s="291"/>
      <c r="G66" s="291"/>
      <c r="H66" s="291"/>
      <c r="I66" s="294"/>
    </row>
    <row r="67" spans="1:9" s="7" customFormat="1">
      <c r="A67" s="247" t="s">
        <v>89</v>
      </c>
      <c r="B67" s="188">
        <f>+CLTrain2</f>
        <v>5</v>
      </c>
      <c r="C67" s="188">
        <v>2</v>
      </c>
      <c r="D67" s="187">
        <f>B67*LaborNoSkill</f>
        <v>45</v>
      </c>
      <c r="E67" s="185">
        <v>1</v>
      </c>
      <c r="F67" s="187">
        <f>IF(E67&gt;0,VLOOKUP(E67,EquipCost,15)*C67,0)</f>
        <v>30.504000000000001</v>
      </c>
      <c r="G67" s="186">
        <f>+CLTrainMat2</f>
        <v>10</v>
      </c>
      <c r="H67" s="186"/>
      <c r="I67" s="248">
        <f>SUM(F67:H67)+D67</f>
        <v>85.504000000000005</v>
      </c>
    </row>
    <row r="68" spans="1:9" s="7" customFormat="1">
      <c r="A68" s="247" t="s">
        <v>90</v>
      </c>
      <c r="B68" s="188">
        <f>+CLPrune2</f>
        <v>0</v>
      </c>
      <c r="C68" s="188">
        <f>+B68</f>
        <v>0</v>
      </c>
      <c r="D68" s="187">
        <f>B68*LaborNoSkill</f>
        <v>0</v>
      </c>
      <c r="E68" s="185">
        <v>18</v>
      </c>
      <c r="F68" s="187">
        <f>IF(E68&gt;0,VLOOKUP(E68,EquipCost,15)*C68,0)</f>
        <v>0</v>
      </c>
      <c r="G68" s="186"/>
      <c r="H68" s="186"/>
      <c r="I68" s="248">
        <f>SUM(F68:H68)+D68</f>
        <v>0</v>
      </c>
    </row>
    <row r="69" spans="1:9" s="7" customFormat="1">
      <c r="A69" s="249" t="s">
        <v>110</v>
      </c>
      <c r="B69" s="188">
        <v>0</v>
      </c>
      <c r="C69" s="188">
        <f>+B69</f>
        <v>0</v>
      </c>
      <c r="D69" s="187">
        <f>B69*LaborSkill</f>
        <v>0</v>
      </c>
      <c r="E69" s="185">
        <v>3</v>
      </c>
      <c r="F69" s="187">
        <f>IF(E69&gt;0,VLOOKUP(E69,EquipCost,15)*C69,0)</f>
        <v>0</v>
      </c>
      <c r="G69" s="186"/>
      <c r="H69" s="186"/>
      <c r="I69" s="248">
        <f>SUM(F69:H69)+D69</f>
        <v>0</v>
      </c>
    </row>
    <row r="70" spans="1:9" s="7" customFormat="1">
      <c r="A70" s="249" t="s">
        <v>111</v>
      </c>
      <c r="B70" s="184">
        <f>0.0333333333333333*CLTree*0.05</f>
        <v>0.33611111111111081</v>
      </c>
      <c r="C70" s="188">
        <f>B70</f>
        <v>0.33611111111111081</v>
      </c>
      <c r="D70" s="187">
        <f>B70*LaborNoSkill</f>
        <v>3.0249999999999972</v>
      </c>
      <c r="E70" s="185">
        <v>1</v>
      </c>
      <c r="F70" s="187">
        <f>IF(E70&gt;0,VLOOKUP(E70,EquipCost,15)*C70,0)</f>
        <v>5.1263666666666623</v>
      </c>
      <c r="G70" s="183">
        <f>+CLTree*TreeCost*0.05</f>
        <v>75.625</v>
      </c>
      <c r="H70" s="186"/>
      <c r="I70" s="248">
        <f>SUM(F70:H70)+D70</f>
        <v>83.776366666666647</v>
      </c>
    </row>
    <row r="71" spans="1:9" s="7" customFormat="1">
      <c r="A71" s="250" t="s">
        <v>92</v>
      </c>
      <c r="B71" s="194"/>
      <c r="C71" s="195"/>
      <c r="D71" s="187"/>
      <c r="E71" s="196"/>
      <c r="F71" s="187"/>
      <c r="G71" s="197"/>
      <c r="H71" s="197"/>
      <c r="I71" s="251"/>
    </row>
    <row r="72" spans="1:9" s="7" customFormat="1">
      <c r="A72" s="252" t="s">
        <v>88</v>
      </c>
      <c r="B72" s="194">
        <f>+CLHerbTime</f>
        <v>0.8</v>
      </c>
      <c r="C72" s="195">
        <f>+B72</f>
        <v>0.8</v>
      </c>
      <c r="D72" s="187">
        <f>B72*LaborSkill</f>
        <v>12</v>
      </c>
      <c r="E72" s="196">
        <v>3</v>
      </c>
      <c r="F72" s="187">
        <f>IF(E72&gt;0,VLOOKUP(E72,EquipCost,15)*C72,0)</f>
        <v>9.7240000000000002</v>
      </c>
      <c r="G72" s="197"/>
      <c r="H72" s="197"/>
      <c r="I72" s="251">
        <f>SUM(F72:H72)+D72</f>
        <v>21.724</v>
      </c>
    </row>
    <row r="73" spans="1:9" s="7" customFormat="1">
      <c r="A73" s="253" t="s">
        <v>93</v>
      </c>
      <c r="B73" s="194"/>
      <c r="C73" s="195">
        <f>+C72</f>
        <v>0.8</v>
      </c>
      <c r="D73" s="187"/>
      <c r="E73" s="196">
        <v>5</v>
      </c>
      <c r="F73" s="187">
        <f>IF(E73&gt;0,VLOOKUP(E73,EquipCost,15)*C73,0)</f>
        <v>3.5453333333333337</v>
      </c>
      <c r="G73" s="197">
        <f>+CLHerb2</f>
        <v>6.955591435185184</v>
      </c>
      <c r="H73" s="197"/>
      <c r="I73" s="251">
        <f>SUM(F73:H73)+D73</f>
        <v>10.500924768518518</v>
      </c>
    </row>
    <row r="74" spans="1:9" s="7" customFormat="1">
      <c r="A74" s="250" t="s">
        <v>94</v>
      </c>
      <c r="B74" s="194"/>
      <c r="C74" s="195"/>
      <c r="D74" s="187"/>
      <c r="E74" s="196"/>
      <c r="F74" s="187"/>
      <c r="G74" s="197"/>
      <c r="H74" s="197"/>
      <c r="I74" s="251"/>
    </row>
    <row r="75" spans="1:9" s="7" customFormat="1">
      <c r="A75" s="253" t="s">
        <v>95</v>
      </c>
      <c r="B75" s="194">
        <f>+CLSprayTime2</f>
        <v>0.36</v>
      </c>
      <c r="C75" s="195">
        <f>+B75</f>
        <v>0.36</v>
      </c>
      <c r="D75" s="187">
        <f>B75*LaborSkill</f>
        <v>5.3999999999999995</v>
      </c>
      <c r="E75" s="196">
        <v>2</v>
      </c>
      <c r="F75" s="187">
        <f>IF(E75&gt;0,VLOOKUP(E75,EquipCost,15)*C75,0)</f>
        <v>8.5356000000000005</v>
      </c>
      <c r="G75" s="197">
        <f>+CLSprayMat2</f>
        <v>103.19095796130951</v>
      </c>
      <c r="H75" s="197"/>
      <c r="I75" s="251">
        <f>SUM(F75:H75)+D75</f>
        <v>117.12655796130952</v>
      </c>
    </row>
    <row r="76" spans="1:9" s="7" customFormat="1">
      <c r="A76" s="253" t="s">
        <v>96</v>
      </c>
      <c r="B76" s="194"/>
      <c r="C76" s="195">
        <f>+C75</f>
        <v>0.36</v>
      </c>
      <c r="D76" s="187"/>
      <c r="E76" s="196">
        <v>4</v>
      </c>
      <c r="F76" s="187">
        <f>IF(E76&gt;0,VLOOKUP(E76,EquipCost,15)*C76,0)</f>
        <v>3.7169999999999996</v>
      </c>
      <c r="G76" s="197"/>
      <c r="H76" s="197"/>
      <c r="I76" s="251">
        <f>SUM(F76:H76)+D76</f>
        <v>3.7169999999999996</v>
      </c>
    </row>
    <row r="77" spans="1:9" s="7" customFormat="1">
      <c r="A77" s="247" t="s">
        <v>112</v>
      </c>
      <c r="B77" s="184"/>
      <c r="C77" s="188"/>
      <c r="D77" s="187"/>
      <c r="E77" s="185"/>
      <c r="F77" s="187"/>
      <c r="G77" s="183"/>
      <c r="H77" s="181"/>
      <c r="I77" s="248"/>
    </row>
    <row r="78" spans="1:9" s="7" customFormat="1">
      <c r="A78" s="249" t="s">
        <v>88</v>
      </c>
      <c r="B78" s="194">
        <f>+CLFertTime2</f>
        <v>0.1</v>
      </c>
      <c r="C78" s="188">
        <v>0.3</v>
      </c>
      <c r="D78" s="187">
        <f>+B78*LaborNoSkill</f>
        <v>0.9</v>
      </c>
      <c r="E78" s="185">
        <v>3</v>
      </c>
      <c r="F78" s="187">
        <f>IF(E78&gt;0,VLOOKUP(E78,EquipCost,15)*C78,0)</f>
        <v>3.6464999999999996</v>
      </c>
      <c r="G78" s="186">
        <f>+CLFert2</f>
        <v>2.520833333333333</v>
      </c>
      <c r="H78" s="186"/>
      <c r="I78" s="248">
        <f>SUM(F78:H78)+D78</f>
        <v>7.067333333333333</v>
      </c>
    </row>
    <row r="79" spans="1:9" s="7" customFormat="1">
      <c r="A79" s="253" t="s">
        <v>98</v>
      </c>
      <c r="B79" s="203"/>
      <c r="C79" s="188">
        <f>+C78</f>
        <v>0.3</v>
      </c>
      <c r="D79" s="187"/>
      <c r="E79" s="185">
        <v>6</v>
      </c>
      <c r="F79" s="187">
        <f>IF(E79&gt;0,VLOOKUP(E79,EquipCost,15)*C79,0)</f>
        <v>0.94057142857142861</v>
      </c>
      <c r="G79" s="183"/>
      <c r="H79" s="186"/>
      <c r="I79" s="248">
        <f>SUM(F79:H79)+D79</f>
        <v>0.94057142857142861</v>
      </c>
    </row>
    <row r="80" spans="1:9" s="7" customFormat="1">
      <c r="A80" s="247" t="s">
        <v>103</v>
      </c>
      <c r="B80" s="203"/>
      <c r="C80" s="203"/>
      <c r="D80" s="208"/>
      <c r="E80" s="209"/>
      <c r="F80" s="208"/>
      <c r="G80" s="208"/>
      <c r="H80" s="208"/>
      <c r="I80" s="254"/>
    </row>
    <row r="81" spans="1:9" s="7" customFormat="1">
      <c r="A81" s="249" t="s">
        <v>88</v>
      </c>
      <c r="B81" s="184">
        <f>+VAMowTime2</f>
        <v>0.6428571428571429</v>
      </c>
      <c r="C81" s="188">
        <f>B81</f>
        <v>0.6428571428571429</v>
      </c>
      <c r="D81" s="187">
        <f>+B81*LaborNoSkill</f>
        <v>5.7857142857142865</v>
      </c>
      <c r="E81" s="185">
        <v>3</v>
      </c>
      <c r="F81" s="187">
        <f>IF(E81&gt;0,VLOOKUP(E81,EquipCost,15)*C81,0)</f>
        <v>7.8139285714285718</v>
      </c>
      <c r="G81" s="186"/>
      <c r="H81" s="186"/>
      <c r="I81" s="248">
        <f>SUM(F81:H81)+D81</f>
        <v>13.599642857142857</v>
      </c>
    </row>
    <row r="82" spans="1:9" s="7" customFormat="1">
      <c r="A82" s="246" t="s">
        <v>104</v>
      </c>
      <c r="B82" s="203"/>
      <c r="C82" s="188">
        <f>B81</f>
        <v>0.6428571428571429</v>
      </c>
      <c r="D82" s="187"/>
      <c r="E82" s="185">
        <v>7</v>
      </c>
      <c r="F82" s="187">
        <f>IF(E82&gt;0,VLOOKUP(E82,EquipCost,15)*C82,0)</f>
        <v>2.9954081632653065</v>
      </c>
      <c r="G82" s="186"/>
      <c r="H82" s="186"/>
      <c r="I82" s="248">
        <f>SUM(F82:H82)+D82</f>
        <v>2.9954081632653065</v>
      </c>
    </row>
    <row r="83" spans="1:9" s="7" customFormat="1">
      <c r="A83" s="247" t="s">
        <v>105</v>
      </c>
      <c r="B83" s="184"/>
      <c r="C83" s="188"/>
      <c r="D83" s="187"/>
      <c r="E83" s="185"/>
      <c r="F83" s="187"/>
      <c r="G83" s="186"/>
      <c r="H83" s="186"/>
      <c r="I83" s="248"/>
    </row>
    <row r="84" spans="1:9" s="7" customFormat="1">
      <c r="A84" s="249" t="s">
        <v>88</v>
      </c>
      <c r="B84" s="184">
        <f>+CLBaitTime3</f>
        <v>0.11764705882352941</v>
      </c>
      <c r="C84" s="188">
        <f>+B84</f>
        <v>0.11764705882352941</v>
      </c>
      <c r="D84" s="187">
        <f>B84*LaborNoSkill</f>
        <v>1.0588235294117647</v>
      </c>
      <c r="E84" s="185">
        <v>3</v>
      </c>
      <c r="F84" s="187">
        <f>IF(E84&gt;0,VLOOKUP(E84,EquipCost,15)*C84,0)</f>
        <v>1.43</v>
      </c>
      <c r="G84" s="186"/>
      <c r="H84" s="186"/>
      <c r="I84" s="248">
        <f t="shared" ref="I84:I89" si="1">SUM(F84:H84)+D84</f>
        <v>2.4888235294117647</v>
      </c>
    </row>
    <row r="85" spans="1:9" s="7" customFormat="1">
      <c r="A85" s="249" t="s">
        <v>98</v>
      </c>
      <c r="B85" s="184"/>
      <c r="C85" s="188">
        <f>+C84</f>
        <v>0.11764705882352941</v>
      </c>
      <c r="D85" s="187"/>
      <c r="E85" s="185">
        <v>6</v>
      </c>
      <c r="F85" s="187">
        <f>IF(E85&gt;0,VLOOKUP(E85,EquipCost,15)*C85,0)</f>
        <v>0.36885154061624653</v>
      </c>
      <c r="G85" s="186">
        <f>+CLBait3</f>
        <v>5.5</v>
      </c>
      <c r="H85" s="181"/>
      <c r="I85" s="248">
        <f t="shared" si="1"/>
        <v>5.8688515406162463</v>
      </c>
    </row>
    <row r="86" spans="1:9" s="7" customFormat="1">
      <c r="A86" s="249" t="s">
        <v>107</v>
      </c>
      <c r="B86" s="184">
        <v>2</v>
      </c>
      <c r="C86" s="188">
        <v>1</v>
      </c>
      <c r="D86" s="187">
        <f>B86*LaborNoSkill</f>
        <v>18</v>
      </c>
      <c r="E86" s="185">
        <v>1</v>
      </c>
      <c r="F86" s="187">
        <f>IF(E86&gt;0,VLOOKUP(E86,EquipCost,15)*C86,0)</f>
        <v>15.252000000000001</v>
      </c>
      <c r="G86" s="187">
        <f>+CLWild*CLTree</f>
        <v>10.083333333333334</v>
      </c>
      <c r="H86" s="181"/>
      <c r="I86" s="248">
        <f t="shared" si="1"/>
        <v>43.335333333333338</v>
      </c>
    </row>
    <row r="87" spans="1:9">
      <c r="A87" s="246" t="s">
        <v>108</v>
      </c>
      <c r="B87" s="206"/>
      <c r="C87" s="206"/>
      <c r="D87" s="181"/>
      <c r="E87" s="207"/>
      <c r="F87" s="181"/>
      <c r="G87" s="181"/>
      <c r="H87" s="181"/>
      <c r="I87" s="251">
        <f t="shared" si="1"/>
        <v>0</v>
      </c>
    </row>
    <row r="88" spans="1:9">
      <c r="A88" s="246" t="s">
        <v>109</v>
      </c>
      <c r="B88" s="206"/>
      <c r="C88" s="206"/>
      <c r="D88" s="181"/>
      <c r="E88" s="207"/>
      <c r="F88" s="181"/>
      <c r="G88" s="181"/>
      <c r="H88" s="181"/>
      <c r="I88" s="251">
        <f t="shared" si="1"/>
        <v>0</v>
      </c>
    </row>
    <row r="89" spans="1:9" s="7" customFormat="1">
      <c r="A89" s="249" t="s">
        <v>115</v>
      </c>
      <c r="B89" s="184">
        <v>0</v>
      </c>
      <c r="C89" s="184">
        <v>0</v>
      </c>
      <c r="D89" s="187">
        <f>B89*LaborNoSkill</f>
        <v>0</v>
      </c>
      <c r="E89" s="207">
        <v>17</v>
      </c>
      <c r="F89" s="187">
        <f>IF(E89&gt;0,VLOOKUP(E89,EquipCost,15)*C89,0)</f>
        <v>0</v>
      </c>
      <c r="G89" s="183"/>
      <c r="H89" s="181"/>
      <c r="I89" s="248">
        <f t="shared" si="1"/>
        <v>0</v>
      </c>
    </row>
    <row r="90" spans="1:9" s="7" customFormat="1">
      <c r="A90" s="249" t="s">
        <v>71</v>
      </c>
      <c r="B90" s="184">
        <f>-B1284</f>
        <v>0</v>
      </c>
      <c r="C90" s="184"/>
      <c r="D90" s="187">
        <f>B90*LaborNoSkill</f>
        <v>0</v>
      </c>
      <c r="E90" s="185"/>
      <c r="F90" s="187">
        <f>IF(E90&gt;0,VLOOKUP(E90,EquipCost,15)*C90,0)</f>
        <v>0</v>
      </c>
      <c r="G90" s="186"/>
      <c r="H90" s="183">
        <f>+RETax</f>
        <v>35</v>
      </c>
      <c r="I90" s="746">
        <f>SUM(F90:H90)+D90</f>
        <v>35</v>
      </c>
    </row>
    <row r="91" spans="1:9" s="9" customFormat="1">
      <c r="A91" s="260" t="s">
        <v>72</v>
      </c>
      <c r="B91" s="261">
        <v>2</v>
      </c>
      <c r="C91" s="261"/>
      <c r="D91" s="262">
        <f>B91*LaborNoSkill</f>
        <v>18</v>
      </c>
      <c r="E91" s="263"/>
      <c r="F91" s="262">
        <f>IF(E91&gt;0,VLOOKUP(E91,EquipCost,15)*C91,0)</f>
        <v>0</v>
      </c>
      <c r="G91" s="264"/>
      <c r="H91" s="265">
        <f>+other</f>
        <v>12.5</v>
      </c>
      <c r="I91" s="746">
        <f>SUM(F91:H91)+D91</f>
        <v>30.5</v>
      </c>
    </row>
    <row r="92" spans="1:9" s="82" customFormat="1">
      <c r="A92" s="267"/>
      <c r="B92" s="268"/>
      <c r="C92" s="268"/>
      <c r="D92" s="269"/>
      <c r="E92" s="270"/>
      <c r="F92" s="269"/>
      <c r="G92" s="269"/>
      <c r="H92" s="269"/>
      <c r="I92" s="271"/>
    </row>
    <row r="93" spans="1:9">
      <c r="A93" s="255" t="s">
        <v>49</v>
      </c>
      <c r="B93" s="256">
        <f>SUM(B67:B92)</f>
        <v>11.356615312791781</v>
      </c>
      <c r="C93" s="256">
        <f>SUM(C67:C92)</f>
        <v>7.7771195144724556</v>
      </c>
      <c r="D93" s="257">
        <f>SUM(D67:D92)</f>
        <v>109.16953781512606</v>
      </c>
      <c r="E93" s="258"/>
      <c r="F93" s="257">
        <f>SUM(F67:F92)</f>
        <v>93.599559703881567</v>
      </c>
      <c r="G93" s="257">
        <f>SUM(G67:G92)</f>
        <v>213.87571606316138</v>
      </c>
      <c r="H93" s="257">
        <f>SUM(H67:H92)</f>
        <v>47.5</v>
      </c>
      <c r="I93" s="745">
        <f>SUM(I66:I92)</f>
        <v>464.14481358216892</v>
      </c>
    </row>
    <row r="94" spans="1:9" ht="20.25">
      <c r="A94" s="1320" t="s">
        <v>635</v>
      </c>
      <c r="B94" s="1320"/>
      <c r="C94" s="1320"/>
      <c r="D94" s="1320"/>
      <c r="E94" s="1320"/>
      <c r="F94" s="1320"/>
      <c r="G94" s="1320"/>
      <c r="H94" s="1320"/>
      <c r="I94" s="1320"/>
    </row>
    <row r="95" spans="1:9" s="173" customFormat="1" ht="11.25">
      <c r="A95" s="174" t="s">
        <v>46</v>
      </c>
      <c r="B95" s="175" t="s">
        <v>632</v>
      </c>
      <c r="C95" s="175" t="s">
        <v>631</v>
      </c>
      <c r="D95" s="176" t="s">
        <v>626</v>
      </c>
      <c r="E95" s="177" t="s">
        <v>627</v>
      </c>
      <c r="F95" s="176" t="s">
        <v>628</v>
      </c>
      <c r="G95" s="176" t="s">
        <v>629</v>
      </c>
      <c r="H95" s="176" t="s">
        <v>630</v>
      </c>
      <c r="I95" s="176" t="s">
        <v>271</v>
      </c>
    </row>
    <row r="96" spans="1:9">
      <c r="A96" s="272"/>
      <c r="B96" s="273"/>
      <c r="C96" s="273"/>
      <c r="D96" s="227"/>
      <c r="E96" s="228"/>
      <c r="F96" s="227"/>
      <c r="G96" s="227"/>
      <c r="H96" s="227"/>
      <c r="I96" s="274"/>
    </row>
    <row r="97" spans="1:9">
      <c r="A97" s="247" t="s">
        <v>89</v>
      </c>
      <c r="B97" s="188">
        <f>+CLTrain4</f>
        <v>15</v>
      </c>
      <c r="C97" s="188">
        <v>2</v>
      </c>
      <c r="D97" s="187">
        <f>B97*LaborNoSkill</f>
        <v>135</v>
      </c>
      <c r="E97" s="185">
        <v>1</v>
      </c>
      <c r="F97" s="187">
        <f>IF(E97&gt;0,VLOOKUP(E97,EquipCost,15)*C97,0)</f>
        <v>30.504000000000001</v>
      </c>
      <c r="G97" s="186">
        <f>+CLTrainMat4</f>
        <v>10</v>
      </c>
      <c r="H97" s="186"/>
      <c r="I97" s="248">
        <f>SUM(F97:H97)+D97</f>
        <v>175.50400000000002</v>
      </c>
    </row>
    <row r="98" spans="1:9">
      <c r="A98" s="247" t="s">
        <v>90</v>
      </c>
      <c r="B98" s="188">
        <f>+CLPrune4</f>
        <v>0</v>
      </c>
      <c r="C98" s="188">
        <f>+B98</f>
        <v>0</v>
      </c>
      <c r="D98" s="187">
        <f>B98*LaborNoSkill</f>
        <v>0</v>
      </c>
      <c r="E98" s="185">
        <v>18</v>
      </c>
      <c r="F98" s="187">
        <f>IF(E98&gt;0,VLOOKUP(E98,EquipCost,15)*C98,0)</f>
        <v>0</v>
      </c>
      <c r="G98" s="186"/>
      <c r="H98" s="186"/>
      <c r="I98" s="248">
        <f>SUM(F98:H98)+D98</f>
        <v>0</v>
      </c>
    </row>
    <row r="99" spans="1:9">
      <c r="A99" s="249" t="s">
        <v>110</v>
      </c>
      <c r="B99" s="188">
        <v>0</v>
      </c>
      <c r="C99" s="188">
        <f>+B99</f>
        <v>0</v>
      </c>
      <c r="D99" s="187">
        <f>B99*LaborSkill</f>
        <v>0</v>
      </c>
      <c r="E99" s="185">
        <v>3</v>
      </c>
      <c r="F99" s="187">
        <f>IF(E99&gt;0,VLOOKUP(E99,EquipCost,15)*C99,0)</f>
        <v>0</v>
      </c>
      <c r="G99" s="186"/>
      <c r="H99" s="186"/>
      <c r="I99" s="248">
        <f>SUM(F99:H99)+D99</f>
        <v>0</v>
      </c>
    </row>
    <row r="100" spans="1:9" s="82" customFormat="1">
      <c r="A100" s="249" t="s">
        <v>111</v>
      </c>
      <c r="B100" s="184">
        <v>0.5</v>
      </c>
      <c r="C100" s="188">
        <f>B100</f>
        <v>0.5</v>
      </c>
      <c r="D100" s="187">
        <f>B100*LaborNoSkill</f>
        <v>4.5</v>
      </c>
      <c r="E100" s="185">
        <v>1</v>
      </c>
      <c r="F100" s="187">
        <f>IF(E100&gt;0,VLOOKUP(E100,EquipCost,15)*C100,0)</f>
        <v>7.6260000000000003</v>
      </c>
      <c r="G100" s="183">
        <f>+CLTree*TreeCost*0.01</f>
        <v>15.125</v>
      </c>
      <c r="H100" s="186"/>
      <c r="I100" s="248">
        <f>SUM(F100:H100)+D100</f>
        <v>27.251000000000001</v>
      </c>
    </row>
    <row r="101" spans="1:9" s="82" customFormat="1">
      <c r="A101" s="250" t="s">
        <v>92</v>
      </c>
      <c r="B101" s="194"/>
      <c r="C101" s="195"/>
      <c r="D101" s="187"/>
      <c r="E101" s="196"/>
      <c r="F101" s="187"/>
      <c r="G101" s="197"/>
      <c r="H101" s="197"/>
      <c r="I101" s="251"/>
    </row>
    <row r="102" spans="1:9" s="7" customFormat="1">
      <c r="A102" s="252" t="s">
        <v>88</v>
      </c>
      <c r="B102" s="194">
        <f>+CLHerbTime</f>
        <v>0.8</v>
      </c>
      <c r="C102" s="195">
        <f>+B102</f>
        <v>0.8</v>
      </c>
      <c r="D102" s="187">
        <f>B102*LaborSkill</f>
        <v>12</v>
      </c>
      <c r="E102" s="196">
        <v>3</v>
      </c>
      <c r="F102" s="187">
        <f>IF(E102&gt;0,VLOOKUP(E102,EquipCost,15)*C102,0)</f>
        <v>9.7240000000000002</v>
      </c>
      <c r="G102" s="197"/>
      <c r="H102" s="197"/>
      <c r="I102" s="251">
        <f>SUM(F102:H102)+D102</f>
        <v>21.724</v>
      </c>
    </row>
    <row r="103" spans="1:9" s="7" customFormat="1">
      <c r="A103" s="253" t="s">
        <v>93</v>
      </c>
      <c r="B103" s="194"/>
      <c r="C103" s="195">
        <f>+C102</f>
        <v>0.8</v>
      </c>
      <c r="D103" s="187"/>
      <c r="E103" s="196">
        <v>5</v>
      </c>
      <c r="F103" s="187">
        <f>IF(E103&gt;0,VLOOKUP(E103,EquipCost,15)*C103,0)</f>
        <v>3.5453333333333337</v>
      </c>
      <c r="G103" s="197">
        <f>+CLHerb4</f>
        <v>10.433387152777776</v>
      </c>
      <c r="H103" s="197"/>
      <c r="I103" s="251">
        <f>SUM(F103:H103)+D103</f>
        <v>13.97872048611111</v>
      </c>
    </row>
    <row r="104" spans="1:9" s="7" customFormat="1">
      <c r="A104" s="250" t="s">
        <v>94</v>
      </c>
      <c r="B104" s="194"/>
      <c r="C104" s="195"/>
      <c r="D104" s="187"/>
      <c r="E104" s="196"/>
      <c r="F104" s="187"/>
      <c r="G104" s="197"/>
      <c r="H104" s="197"/>
      <c r="I104" s="251"/>
    </row>
    <row r="105" spans="1:9" s="7" customFormat="1">
      <c r="A105" s="253" t="s">
        <v>95</v>
      </c>
      <c r="B105" s="194">
        <f>+CLSprayTime3</f>
        <v>1.44</v>
      </c>
      <c r="C105" s="195">
        <f>+B105</f>
        <v>1.44</v>
      </c>
      <c r="D105" s="187">
        <f>B105*LaborSkill</f>
        <v>21.599999999999998</v>
      </c>
      <c r="E105" s="196">
        <v>2</v>
      </c>
      <c r="F105" s="187">
        <f>IF(E105&gt;0,VLOOKUP(E105,EquipCost,15)*C105,0)</f>
        <v>34.142400000000002</v>
      </c>
      <c r="G105" s="197">
        <f>+CLSprayMat3</f>
        <v>412.76383184523803</v>
      </c>
      <c r="H105" s="197"/>
      <c r="I105" s="251">
        <f>SUM(F105:H105)+D105</f>
        <v>468.50623184523806</v>
      </c>
    </row>
    <row r="106" spans="1:9" s="7" customFormat="1">
      <c r="A106" s="253" t="s">
        <v>96</v>
      </c>
      <c r="B106" s="194"/>
      <c r="C106" s="195">
        <f>+C105</f>
        <v>1.44</v>
      </c>
      <c r="D106" s="187"/>
      <c r="E106" s="196">
        <v>4</v>
      </c>
      <c r="F106" s="187">
        <f>IF(E106&gt;0,VLOOKUP(E106,EquipCost,15)*C106,0)</f>
        <v>14.867999999999999</v>
      </c>
      <c r="G106" s="197"/>
      <c r="H106" s="197"/>
      <c r="I106" s="251">
        <f>SUM(F106:H106)+D106</f>
        <v>14.867999999999999</v>
      </c>
    </row>
    <row r="107" spans="1:9" s="7" customFormat="1">
      <c r="A107" s="247" t="s">
        <v>112</v>
      </c>
      <c r="B107" s="184"/>
      <c r="C107" s="188"/>
      <c r="D107" s="187"/>
      <c r="E107" s="185"/>
      <c r="F107" s="187"/>
      <c r="G107" s="183"/>
      <c r="H107" s="181"/>
      <c r="I107" s="248"/>
    </row>
    <row r="108" spans="1:9" s="7" customFormat="1">
      <c r="A108" s="253" t="s">
        <v>88</v>
      </c>
      <c r="B108" s="194">
        <f>+CLFertTime3</f>
        <v>0.1</v>
      </c>
      <c r="C108" s="195">
        <f>+B108</f>
        <v>0.1</v>
      </c>
      <c r="D108" s="187">
        <f>B108*LaborNoSkill</f>
        <v>0.9</v>
      </c>
      <c r="E108" s="196">
        <v>3</v>
      </c>
      <c r="F108" s="187">
        <f>IF(E108&gt;0,VLOOKUP(E108,EquipCost,15)*C108,0)</f>
        <v>1.2155</v>
      </c>
      <c r="G108" s="187">
        <f>+CLFert3</f>
        <v>3.78125</v>
      </c>
      <c r="H108" s="197"/>
      <c r="I108" s="251">
        <f>SUM(F108:H108)+D108</f>
        <v>5.8967500000000008</v>
      </c>
    </row>
    <row r="109" spans="1:9" s="7" customFormat="1">
      <c r="A109" s="253" t="s">
        <v>98</v>
      </c>
      <c r="B109" s="194"/>
      <c r="C109" s="195">
        <f>+C108</f>
        <v>0.1</v>
      </c>
      <c r="D109" s="187"/>
      <c r="E109" s="196">
        <v>6</v>
      </c>
      <c r="F109" s="187">
        <f>IF(E109&gt;0,VLOOKUP(E109,EquipCost,15)*C109,0)</f>
        <v>0.31352380952380954</v>
      </c>
      <c r="G109" s="197"/>
      <c r="H109" s="197"/>
      <c r="I109" s="251">
        <f>SUM(F109:H109)+D109</f>
        <v>0.31352380952380954</v>
      </c>
    </row>
    <row r="110" spans="1:9" s="7" customFormat="1">
      <c r="A110" s="253" t="s">
        <v>114</v>
      </c>
      <c r="B110" s="184"/>
      <c r="C110" s="188"/>
      <c r="D110" s="187"/>
      <c r="E110" s="185"/>
      <c r="F110" s="187"/>
      <c r="G110" s="183">
        <v>0</v>
      </c>
      <c r="H110" s="186"/>
      <c r="I110" s="248">
        <f>SUM(F110:H110)+D110</f>
        <v>0</v>
      </c>
    </row>
    <row r="111" spans="1:9" s="7" customFormat="1">
      <c r="A111" s="247" t="s">
        <v>103</v>
      </c>
      <c r="B111" s="203"/>
      <c r="C111" s="203"/>
      <c r="D111" s="208"/>
      <c r="E111" s="209"/>
      <c r="F111" s="208"/>
      <c r="G111" s="208"/>
      <c r="H111" s="208"/>
      <c r="I111" s="254"/>
    </row>
    <row r="112" spans="1:9" s="7" customFormat="1">
      <c r="A112" s="249" t="s">
        <v>88</v>
      </c>
      <c r="B112" s="184">
        <f>+CLMowTime3</f>
        <v>0.75</v>
      </c>
      <c r="C112" s="188">
        <f>+B112</f>
        <v>0.75</v>
      </c>
      <c r="D112" s="187">
        <f>B112*LaborNoSkill</f>
        <v>6.75</v>
      </c>
      <c r="E112" s="185">
        <v>3</v>
      </c>
      <c r="F112" s="187">
        <f>IF(E112&gt;0,VLOOKUP(E112,EquipCost,15)*C112,0)</f>
        <v>9.1162499999999991</v>
      </c>
      <c r="G112" s="186"/>
      <c r="H112" s="186"/>
      <c r="I112" s="248">
        <f>SUM(F112:H112)+D112</f>
        <v>15.866249999999999</v>
      </c>
    </row>
    <row r="113" spans="1:9" s="7" customFormat="1">
      <c r="A113" s="246" t="s">
        <v>104</v>
      </c>
      <c r="B113" s="184"/>
      <c r="C113" s="188">
        <f>+C112</f>
        <v>0.75</v>
      </c>
      <c r="D113" s="187"/>
      <c r="E113" s="185">
        <v>7</v>
      </c>
      <c r="F113" s="187">
        <f>IF(E113&gt;0,VLOOKUP(E113,EquipCost,15)*C113,0)</f>
        <v>3.4946428571428574</v>
      </c>
      <c r="G113" s="186"/>
      <c r="H113" s="186"/>
      <c r="I113" s="248">
        <f>SUM(F113:H113)+D113</f>
        <v>3.4946428571428574</v>
      </c>
    </row>
    <row r="114" spans="1:9" s="7" customFormat="1">
      <c r="A114" s="247" t="s">
        <v>105</v>
      </c>
      <c r="B114" s="184"/>
      <c r="C114" s="188"/>
      <c r="D114" s="187"/>
      <c r="E114" s="185"/>
      <c r="F114" s="187"/>
      <c r="G114" s="186"/>
      <c r="H114" s="186"/>
      <c r="I114" s="248"/>
    </row>
    <row r="115" spans="1:9" s="7" customFormat="1">
      <c r="A115" s="249" t="s">
        <v>88</v>
      </c>
      <c r="B115" s="184">
        <f>+CLBaitTime3</f>
        <v>0.11764705882352941</v>
      </c>
      <c r="C115" s="188">
        <f>+B115</f>
        <v>0.11764705882352941</v>
      </c>
      <c r="D115" s="187">
        <f>B115*LaborNoSkill</f>
        <v>1.0588235294117647</v>
      </c>
      <c r="E115" s="185">
        <v>3</v>
      </c>
      <c r="F115" s="187">
        <f>IF(E115&gt;0,VLOOKUP(E115,EquipCost,15)*C115,0)</f>
        <v>1.43</v>
      </c>
      <c r="G115" s="186"/>
      <c r="H115" s="186"/>
      <c r="I115" s="248">
        <f t="shared" ref="I115:I122" si="2">SUM(F115:H115)+D115</f>
        <v>2.4888235294117647</v>
      </c>
    </row>
    <row r="116" spans="1:9" s="7" customFormat="1">
      <c r="A116" s="249" t="s">
        <v>98</v>
      </c>
      <c r="B116" s="184"/>
      <c r="C116" s="188">
        <f>+C115</f>
        <v>0.11764705882352941</v>
      </c>
      <c r="D116" s="187"/>
      <c r="E116" s="185">
        <v>6</v>
      </c>
      <c r="F116" s="187">
        <f>IF(E116&gt;0,VLOOKUP(E116,EquipCost,15)*C116,0)</f>
        <v>0.36885154061624653</v>
      </c>
      <c r="G116" s="186">
        <f>+CLBait3</f>
        <v>5.5</v>
      </c>
      <c r="H116" s="181"/>
      <c r="I116" s="248">
        <f t="shared" si="2"/>
        <v>5.8688515406162463</v>
      </c>
    </row>
    <row r="117" spans="1:9" s="7" customFormat="1">
      <c r="A117" s="249" t="s">
        <v>107</v>
      </c>
      <c r="B117" s="184">
        <v>2</v>
      </c>
      <c r="C117" s="188">
        <v>1</v>
      </c>
      <c r="D117" s="187">
        <f>B117*LaborNoSkill</f>
        <v>18</v>
      </c>
      <c r="E117" s="185">
        <v>1</v>
      </c>
      <c r="F117" s="187">
        <f>IF(E117&gt;0,VLOOKUP(E117,EquipCost,15)*C117,0)</f>
        <v>15.252000000000001</v>
      </c>
      <c r="G117" s="187">
        <f>+CLWild*CLTree</f>
        <v>10.083333333333334</v>
      </c>
      <c r="H117" s="181"/>
      <c r="I117" s="248">
        <f t="shared" si="2"/>
        <v>43.335333333333338</v>
      </c>
    </row>
    <row r="118" spans="1:9" s="7" customFormat="1">
      <c r="A118" s="246" t="s">
        <v>108</v>
      </c>
      <c r="B118" s="206"/>
      <c r="C118" s="206"/>
      <c r="D118" s="181"/>
      <c r="E118" s="207"/>
      <c r="F118" s="181"/>
      <c r="G118" s="181"/>
      <c r="H118" s="181"/>
      <c r="I118" s="251">
        <f t="shared" si="2"/>
        <v>0</v>
      </c>
    </row>
    <row r="119" spans="1:9" s="7" customFormat="1">
      <c r="A119" s="246" t="s">
        <v>109</v>
      </c>
      <c r="B119" s="206"/>
      <c r="C119" s="206"/>
      <c r="D119" s="181"/>
      <c r="E119" s="207"/>
      <c r="F119" s="181"/>
      <c r="G119" s="181"/>
      <c r="H119" s="181"/>
      <c r="I119" s="251">
        <f t="shared" si="2"/>
        <v>0</v>
      </c>
    </row>
    <row r="120" spans="1:9" s="7" customFormat="1">
      <c r="A120" s="249" t="s">
        <v>115</v>
      </c>
      <c r="B120" s="184">
        <v>0</v>
      </c>
      <c r="C120" s="184">
        <v>0</v>
      </c>
      <c r="D120" s="187">
        <f>B120*LaborNoSkill</f>
        <v>0</v>
      </c>
      <c r="E120" s="207">
        <v>17</v>
      </c>
      <c r="F120" s="187">
        <f>IF(E120&gt;0,VLOOKUP(E120,EquipCost,15)*C120,0)</f>
        <v>0</v>
      </c>
      <c r="G120" s="183"/>
      <c r="H120" s="181"/>
      <c r="I120" s="248">
        <f t="shared" si="2"/>
        <v>0</v>
      </c>
    </row>
    <row r="121" spans="1:9" s="7" customFormat="1">
      <c r="A121" s="249" t="s">
        <v>71</v>
      </c>
      <c r="B121" s="184"/>
      <c r="C121" s="184"/>
      <c r="D121" s="187">
        <f>B121*LaborNoSkill</f>
        <v>0</v>
      </c>
      <c r="E121" s="185"/>
      <c r="F121" s="187">
        <f>IF(E121&gt;0,VLOOKUP(E121,EquipCost,15)*C121,0)</f>
        <v>0</v>
      </c>
      <c r="G121" s="186"/>
      <c r="H121" s="183">
        <f>+RETax</f>
        <v>35</v>
      </c>
      <c r="I121" s="248">
        <f t="shared" si="2"/>
        <v>35</v>
      </c>
    </row>
    <row r="122" spans="1:9" s="9" customFormat="1">
      <c r="A122" s="260" t="s">
        <v>72</v>
      </c>
      <c r="B122" s="261"/>
      <c r="C122" s="261"/>
      <c r="D122" s="262">
        <f>B122*LaborNoSkill</f>
        <v>0</v>
      </c>
      <c r="E122" s="263"/>
      <c r="F122" s="262">
        <f>IF(E122&gt;0,VLOOKUP(E122,EquipCost,15)*C122,0)</f>
        <v>0</v>
      </c>
      <c r="G122" s="264"/>
      <c r="H122" s="265">
        <f>+other</f>
        <v>12.5</v>
      </c>
      <c r="I122" s="266">
        <f t="shared" si="2"/>
        <v>12.5</v>
      </c>
    </row>
    <row r="123" spans="1:9" s="82" customFormat="1">
      <c r="A123" s="267"/>
      <c r="B123" s="268"/>
      <c r="C123" s="268"/>
      <c r="D123" s="269"/>
      <c r="E123" s="270"/>
      <c r="F123" s="269"/>
      <c r="G123" s="269"/>
      <c r="H123" s="269"/>
      <c r="I123" s="271"/>
    </row>
    <row r="124" spans="1:9">
      <c r="A124" s="255" t="s">
        <v>49</v>
      </c>
      <c r="B124" s="256">
        <f>SUM(B96:B123)</f>
        <v>20.707647058823532</v>
      </c>
      <c r="C124" s="256">
        <f>SUM(C96:C123)</f>
        <v>9.9152941176470559</v>
      </c>
      <c r="D124" s="257">
        <f>SUM(D96:D123)</f>
        <v>199.80882352941177</v>
      </c>
      <c r="E124" s="258"/>
      <c r="F124" s="257">
        <f>SUM(F96:F123)</f>
        <v>131.60050154061625</v>
      </c>
      <c r="G124" s="257">
        <f>SUM(G96:G123)</f>
        <v>467.6868023313491</v>
      </c>
      <c r="H124" s="257">
        <f>SUM(H96:H123)</f>
        <v>47.5</v>
      </c>
      <c r="I124" s="259">
        <f>SUM(I96:I123)</f>
        <v>846.5961274013772</v>
      </c>
    </row>
    <row r="125" spans="1:9" ht="20.25">
      <c r="A125" s="1320" t="s">
        <v>636</v>
      </c>
      <c r="B125" s="1320"/>
      <c r="C125" s="1320"/>
      <c r="D125" s="1320"/>
      <c r="E125" s="1320"/>
      <c r="F125" s="1320"/>
      <c r="G125" s="1320"/>
      <c r="H125" s="1320"/>
      <c r="I125" s="1320"/>
    </row>
    <row r="126" spans="1:9" s="173" customFormat="1" ht="11.25">
      <c r="A126" s="174" t="s">
        <v>46</v>
      </c>
      <c r="B126" s="175" t="s">
        <v>632</v>
      </c>
      <c r="C126" s="175" t="s">
        <v>631</v>
      </c>
      <c r="D126" s="176" t="s">
        <v>626</v>
      </c>
      <c r="E126" s="177" t="s">
        <v>627</v>
      </c>
      <c r="F126" s="176" t="s">
        <v>628</v>
      </c>
      <c r="G126" s="176" t="s">
        <v>629</v>
      </c>
      <c r="H126" s="176" t="s">
        <v>630</v>
      </c>
      <c r="I126" s="176" t="s">
        <v>271</v>
      </c>
    </row>
    <row r="127" spans="1:9" s="82" customFormat="1">
      <c r="A127" s="272"/>
      <c r="B127" s="273"/>
      <c r="C127" s="273"/>
      <c r="D127" s="227"/>
      <c r="E127" s="228"/>
      <c r="F127" s="227"/>
      <c r="G127" s="227"/>
      <c r="H127" s="227"/>
      <c r="I127" s="274"/>
    </row>
    <row r="128" spans="1:9" s="7" customFormat="1">
      <c r="A128" s="247" t="s">
        <v>89</v>
      </c>
      <c r="B128" s="188">
        <f>+CLTrain4</f>
        <v>15</v>
      </c>
      <c r="C128" s="188">
        <v>2</v>
      </c>
      <c r="D128" s="187">
        <f>B128*LaborNoSkill</f>
        <v>135</v>
      </c>
      <c r="E128" s="185">
        <v>1</v>
      </c>
      <c r="F128" s="187">
        <f>IF(E128&gt;0,VLOOKUP(E128,EquipCost,15)*C128,0)</f>
        <v>30.504000000000001</v>
      </c>
      <c r="G128" s="186">
        <f>+CLTrainMat4</f>
        <v>10</v>
      </c>
      <c r="H128" s="186"/>
      <c r="I128" s="248">
        <f>SUM(F128:H128)+D128</f>
        <v>175.50400000000002</v>
      </c>
    </row>
    <row r="129" spans="1:9" s="7" customFormat="1">
      <c r="A129" s="247" t="s">
        <v>90</v>
      </c>
      <c r="B129" s="188">
        <f>+CLPrune4</f>
        <v>0</v>
      </c>
      <c r="C129" s="188">
        <f>+B129</f>
        <v>0</v>
      </c>
      <c r="D129" s="187">
        <f>B129*LaborNoSkill</f>
        <v>0</v>
      </c>
      <c r="E129" s="185">
        <v>18</v>
      </c>
      <c r="F129" s="187">
        <f>IF(E129&gt;0,VLOOKUP(E129,EquipCost,15)*C129,0)</f>
        <v>0</v>
      </c>
      <c r="G129" s="186"/>
      <c r="H129" s="186"/>
      <c r="I129" s="248">
        <f>SUM(F129:H129)+D129</f>
        <v>0</v>
      </c>
    </row>
    <row r="130" spans="1:9" s="7" customFormat="1">
      <c r="A130" s="249" t="s">
        <v>110</v>
      </c>
      <c r="B130" s="188">
        <v>0</v>
      </c>
      <c r="C130" s="188">
        <f>+B130</f>
        <v>0</v>
      </c>
      <c r="D130" s="187">
        <f>B130*LaborSkill</f>
        <v>0</v>
      </c>
      <c r="E130" s="185">
        <v>3</v>
      </c>
      <c r="F130" s="187">
        <f>IF(E130&gt;0,VLOOKUP(E130,EquipCost,15)*C130,0)</f>
        <v>0</v>
      </c>
      <c r="G130" s="186"/>
      <c r="H130" s="186"/>
      <c r="I130" s="248">
        <f>SUM(F130:H130)+D130</f>
        <v>0</v>
      </c>
    </row>
    <row r="131" spans="1:9" s="7" customFormat="1">
      <c r="A131" s="249" t="s">
        <v>111</v>
      </c>
      <c r="B131" s="184">
        <v>0.5</v>
      </c>
      <c r="C131" s="188">
        <f>B131</f>
        <v>0.5</v>
      </c>
      <c r="D131" s="187">
        <f>B131*LaborNoSkill</f>
        <v>4.5</v>
      </c>
      <c r="E131" s="185">
        <v>1</v>
      </c>
      <c r="F131" s="187">
        <f>IF(E131&gt;0,VLOOKUP(E131,EquipCost,15)*C131,0)</f>
        <v>7.6260000000000003</v>
      </c>
      <c r="G131" s="183">
        <f>+CLTree*TreeCost*0.01</f>
        <v>15.125</v>
      </c>
      <c r="H131" s="186"/>
      <c r="I131" s="248">
        <f>SUM(F131:H131)+D131</f>
        <v>27.251000000000001</v>
      </c>
    </row>
    <row r="132" spans="1:9" s="7" customFormat="1">
      <c r="A132" s="250" t="s">
        <v>92</v>
      </c>
      <c r="B132" s="194"/>
      <c r="C132" s="195"/>
      <c r="D132" s="187"/>
      <c r="E132" s="196"/>
      <c r="F132" s="187"/>
      <c r="G132" s="197"/>
      <c r="H132" s="197"/>
      <c r="I132" s="251"/>
    </row>
    <row r="133" spans="1:9" s="7" customFormat="1">
      <c r="A133" s="252" t="s">
        <v>88</v>
      </c>
      <c r="B133" s="194">
        <f>+CLHerbTime</f>
        <v>0.8</v>
      </c>
      <c r="C133" s="195">
        <f>+B133</f>
        <v>0.8</v>
      </c>
      <c r="D133" s="187">
        <f>B133*LaborSkill</f>
        <v>12</v>
      </c>
      <c r="E133" s="196">
        <v>3</v>
      </c>
      <c r="F133" s="187">
        <f>IF(E133&gt;0,VLOOKUP(E133,EquipCost,15)*C133,0)</f>
        <v>9.7240000000000002</v>
      </c>
      <c r="G133" s="197"/>
      <c r="H133" s="197"/>
      <c r="I133" s="251">
        <f>SUM(F133:H133)+D133</f>
        <v>21.724</v>
      </c>
    </row>
    <row r="134" spans="1:9" s="7" customFormat="1">
      <c r="A134" s="253" t="s">
        <v>93</v>
      </c>
      <c r="B134" s="194"/>
      <c r="C134" s="195">
        <f>+C133</f>
        <v>0.8</v>
      </c>
      <c r="D134" s="187"/>
      <c r="E134" s="196">
        <v>5</v>
      </c>
      <c r="F134" s="187">
        <f>IF(E134&gt;0,VLOOKUP(E134,EquipCost,15)*C134,0)</f>
        <v>3.5453333333333337</v>
      </c>
      <c r="G134" s="197">
        <f>+CLHerb4</f>
        <v>10.433387152777776</v>
      </c>
      <c r="H134" s="197"/>
      <c r="I134" s="251">
        <f>SUM(F134:H134)+D134</f>
        <v>13.97872048611111</v>
      </c>
    </row>
    <row r="135" spans="1:9" s="7" customFormat="1">
      <c r="A135" s="250" t="s">
        <v>94</v>
      </c>
      <c r="B135" s="194"/>
      <c r="C135" s="195"/>
      <c r="D135" s="187"/>
      <c r="E135" s="196"/>
      <c r="F135" s="187"/>
      <c r="G135" s="197"/>
      <c r="H135" s="197"/>
      <c r="I135" s="251"/>
    </row>
    <row r="136" spans="1:9" s="7" customFormat="1">
      <c r="A136" s="253" t="s">
        <v>95</v>
      </c>
      <c r="B136" s="194">
        <f>+CLSprayTime4</f>
        <v>2.16</v>
      </c>
      <c r="C136" s="195">
        <f>+B136</f>
        <v>2.16</v>
      </c>
      <c r="D136" s="187">
        <f>B136*LaborSkill</f>
        <v>32.400000000000006</v>
      </c>
      <c r="E136" s="196">
        <v>2</v>
      </c>
      <c r="F136" s="187">
        <f>IF(E136&gt;0,VLOOKUP(E136,EquipCost,15)*C136,0)</f>
        <v>51.213600000000007</v>
      </c>
      <c r="G136" s="197">
        <f>+CLSprayMat4</f>
        <v>619.14574776785707</v>
      </c>
      <c r="H136" s="197"/>
      <c r="I136" s="251">
        <f>SUM(F136:H136)+D136</f>
        <v>702.75934776785709</v>
      </c>
    </row>
    <row r="137" spans="1:9" s="7" customFormat="1">
      <c r="A137" s="253" t="s">
        <v>96</v>
      </c>
      <c r="B137" s="194"/>
      <c r="C137" s="195">
        <f>+C136</f>
        <v>2.16</v>
      </c>
      <c r="D137" s="187"/>
      <c r="E137" s="196">
        <v>4</v>
      </c>
      <c r="F137" s="187">
        <f>IF(E137&gt;0,VLOOKUP(E137,EquipCost,15)*C137,0)</f>
        <v>22.302</v>
      </c>
      <c r="G137" s="197"/>
      <c r="H137" s="197"/>
      <c r="I137" s="251">
        <f>SUM(F137:H137)+D137</f>
        <v>22.302</v>
      </c>
    </row>
    <row r="138" spans="1:9" s="7" customFormat="1">
      <c r="A138" s="247" t="s">
        <v>103</v>
      </c>
      <c r="B138" s="203"/>
      <c r="C138" s="203"/>
      <c r="D138" s="208"/>
      <c r="E138" s="209"/>
      <c r="F138" s="208"/>
      <c r="G138" s="208"/>
      <c r="H138" s="208"/>
      <c r="I138" s="254"/>
    </row>
    <row r="139" spans="1:9" s="7" customFormat="1">
      <c r="A139" s="249" t="s">
        <v>88</v>
      </c>
      <c r="B139" s="184">
        <f>+CLMowTime4</f>
        <v>0.75</v>
      </c>
      <c r="C139" s="188">
        <f>+B139</f>
        <v>0.75</v>
      </c>
      <c r="D139" s="187">
        <f>B139*LaborNoSkill</f>
        <v>6.75</v>
      </c>
      <c r="E139" s="185">
        <v>3</v>
      </c>
      <c r="F139" s="187">
        <f>IF(E139&gt;0,VLOOKUP(E139,EquipCost,15)*C139,0)</f>
        <v>9.1162499999999991</v>
      </c>
      <c r="G139" s="186"/>
      <c r="H139" s="186"/>
      <c r="I139" s="248">
        <f>SUM(F139:H139)+D139</f>
        <v>15.866249999999999</v>
      </c>
    </row>
    <row r="140" spans="1:9" s="7" customFormat="1">
      <c r="A140" s="246" t="s">
        <v>104</v>
      </c>
      <c r="B140" s="184"/>
      <c r="C140" s="188">
        <f>+C139</f>
        <v>0.75</v>
      </c>
      <c r="D140" s="187"/>
      <c r="E140" s="185">
        <v>7</v>
      </c>
      <c r="F140" s="187">
        <f>IF(E140&gt;0,VLOOKUP(E140,EquipCost,15)*C140,0)</f>
        <v>3.4946428571428574</v>
      </c>
      <c r="G140" s="186"/>
      <c r="H140" s="186"/>
      <c r="I140" s="248">
        <f>SUM(F140:H140)+D140</f>
        <v>3.4946428571428574</v>
      </c>
    </row>
    <row r="141" spans="1:9" s="7" customFormat="1">
      <c r="A141" s="247" t="s">
        <v>105</v>
      </c>
      <c r="B141" s="184"/>
      <c r="C141" s="188"/>
      <c r="D141" s="187"/>
      <c r="E141" s="185"/>
      <c r="F141" s="187"/>
      <c r="G141" s="186"/>
      <c r="H141" s="186"/>
      <c r="I141" s="248"/>
    </row>
    <row r="142" spans="1:9" s="7" customFormat="1">
      <c r="A142" s="249" t="s">
        <v>88</v>
      </c>
      <c r="B142" s="184">
        <f>+CLBaitTIme4</f>
        <v>0.11764705882352941</v>
      </c>
      <c r="C142" s="188">
        <f>+B142</f>
        <v>0.11764705882352941</v>
      </c>
      <c r="D142" s="187">
        <f>B142*LaborNoSkill</f>
        <v>1.0588235294117647</v>
      </c>
      <c r="E142" s="185">
        <v>3</v>
      </c>
      <c r="F142" s="187">
        <f>IF(E142&gt;0,VLOOKUP(E142,EquipCost,15)*C142,0)</f>
        <v>1.43</v>
      </c>
      <c r="G142" s="186"/>
      <c r="H142" s="186"/>
      <c r="I142" s="248">
        <f>SUM(F142:H142)+D142</f>
        <v>2.4888235294117647</v>
      </c>
    </row>
    <row r="143" spans="1:9" s="7" customFormat="1">
      <c r="A143" s="249" t="s">
        <v>98</v>
      </c>
      <c r="B143" s="184"/>
      <c r="C143" s="188">
        <f>+C142</f>
        <v>0.11764705882352941</v>
      </c>
      <c r="D143" s="187"/>
      <c r="E143" s="185">
        <v>6</v>
      </c>
      <c r="F143" s="187">
        <f>IF(E143&gt;0,VLOOKUP(E143,EquipCost,15)*C143,0)</f>
        <v>0.36885154061624653</v>
      </c>
      <c r="G143" s="186">
        <f>+CLBait4</f>
        <v>5.5</v>
      </c>
      <c r="H143" s="181"/>
      <c r="I143" s="248">
        <f>SUM(F143:H143)+D143</f>
        <v>5.8688515406162463</v>
      </c>
    </row>
    <row r="144" spans="1:9" s="7" customFormat="1">
      <c r="A144" s="249" t="s">
        <v>107</v>
      </c>
      <c r="B144" s="184">
        <v>2</v>
      </c>
      <c r="C144" s="188">
        <v>1</v>
      </c>
      <c r="D144" s="187">
        <f>B144*LaborNoSkill</f>
        <v>18</v>
      </c>
      <c r="E144" s="185">
        <v>1</v>
      </c>
      <c r="F144" s="187">
        <f>IF(E144&gt;0,VLOOKUP(E144,EquipCost,15)*C144,0)</f>
        <v>15.252000000000001</v>
      </c>
      <c r="G144" s="187">
        <f>+CLWild*CLTree</f>
        <v>10.083333333333334</v>
      </c>
      <c r="H144" s="181"/>
      <c r="I144" s="248">
        <f>SUM(F144:H144)+D144</f>
        <v>43.335333333333338</v>
      </c>
    </row>
    <row r="145" spans="1:9" s="7" customFormat="1">
      <c r="A145" s="247" t="s">
        <v>112</v>
      </c>
      <c r="B145" s="184"/>
      <c r="C145" s="188"/>
      <c r="D145" s="187"/>
      <c r="E145" s="185"/>
      <c r="F145" s="187"/>
      <c r="G145" s="183"/>
      <c r="H145" s="181"/>
      <c r="I145" s="248"/>
    </row>
    <row r="146" spans="1:9" s="7" customFormat="1">
      <c r="A146" s="253" t="s">
        <v>88</v>
      </c>
      <c r="B146" s="194">
        <f>+CLFertTime4</f>
        <v>0.1</v>
      </c>
      <c r="C146" s="195">
        <f>+B146</f>
        <v>0.1</v>
      </c>
      <c r="D146" s="187">
        <f>B146*LaborNoSkill</f>
        <v>0.9</v>
      </c>
      <c r="E146" s="196">
        <v>3</v>
      </c>
      <c r="F146" s="187">
        <f>IF(E146&gt;0,VLOOKUP(E146,EquipCost,15)*C146,0)</f>
        <v>1.2155</v>
      </c>
      <c r="G146" s="187">
        <f>+CLFert4</f>
        <v>5.0416666666666661</v>
      </c>
      <c r="H146" s="197"/>
      <c r="I146" s="251">
        <f>SUM(F146:H146)+D146</f>
        <v>7.1571666666666669</v>
      </c>
    </row>
    <row r="147" spans="1:9" s="7" customFormat="1">
      <c r="A147" s="253" t="s">
        <v>98</v>
      </c>
      <c r="B147" s="194"/>
      <c r="C147" s="195">
        <f>+C146</f>
        <v>0.1</v>
      </c>
      <c r="D147" s="187"/>
      <c r="E147" s="196">
        <v>6</v>
      </c>
      <c r="F147" s="187">
        <f>IF(E147&gt;0,VLOOKUP(E147,EquipCost,15)*C147,0)</f>
        <v>0.31352380952380954</v>
      </c>
      <c r="G147" s="197"/>
      <c r="H147" s="197"/>
      <c r="I147" s="251">
        <f>SUM(F147:H147)+D147</f>
        <v>0.31352380952380954</v>
      </c>
    </row>
    <row r="148" spans="1:9" s="7" customFormat="1">
      <c r="A148" s="253" t="s">
        <v>116</v>
      </c>
      <c r="B148" s="184"/>
      <c r="C148" s="188"/>
      <c r="D148" s="187"/>
      <c r="E148" s="185"/>
      <c r="F148" s="187"/>
      <c r="G148" s="183">
        <f>+Lime</f>
        <v>35</v>
      </c>
      <c r="H148" s="186"/>
      <c r="I148" s="248">
        <f t="shared" ref="I148:I153" si="3">SUM(F148:H148)+D148</f>
        <v>35</v>
      </c>
    </row>
    <row r="149" spans="1:9" s="7" customFormat="1">
      <c r="A149" s="246" t="s">
        <v>108</v>
      </c>
      <c r="B149" s="206"/>
      <c r="C149" s="206"/>
      <c r="D149" s="181"/>
      <c r="E149" s="207"/>
      <c r="F149" s="181"/>
      <c r="G149" s="181"/>
      <c r="H149" s="181"/>
      <c r="I149" s="251">
        <f>SUM(F149:H149)+D149</f>
        <v>0</v>
      </c>
    </row>
    <row r="150" spans="1:9" s="7" customFormat="1">
      <c r="A150" s="246" t="s">
        <v>109</v>
      </c>
      <c r="B150" s="206"/>
      <c r="C150" s="206"/>
      <c r="D150" s="181"/>
      <c r="E150" s="207"/>
      <c r="F150" s="181"/>
      <c r="G150" s="181"/>
      <c r="H150" s="181"/>
      <c r="I150" s="251">
        <f>SUM(F150:H150)+D150</f>
        <v>0</v>
      </c>
    </row>
    <row r="151" spans="1:9" s="7" customFormat="1">
      <c r="A151" s="249" t="s">
        <v>115</v>
      </c>
      <c r="B151" s="184">
        <v>0</v>
      </c>
      <c r="C151" s="184">
        <v>0</v>
      </c>
      <c r="D151" s="187">
        <f>B151*LaborNoSkill</f>
        <v>0</v>
      </c>
      <c r="E151" s="207">
        <v>17</v>
      </c>
      <c r="F151" s="187">
        <f>IF(E151&gt;0,VLOOKUP(E151,EquipCost,15)*C151,0)</f>
        <v>0</v>
      </c>
      <c r="G151" s="183"/>
      <c r="H151" s="181"/>
      <c r="I151" s="248">
        <f t="shared" si="3"/>
        <v>0</v>
      </c>
    </row>
    <row r="152" spans="1:9" s="7" customFormat="1">
      <c r="A152" s="249" t="s">
        <v>71</v>
      </c>
      <c r="B152" s="184"/>
      <c r="C152" s="184"/>
      <c r="D152" s="187">
        <f>B152*LaborNoSkill</f>
        <v>0</v>
      </c>
      <c r="E152" s="185"/>
      <c r="F152" s="187">
        <f>IF(E152&gt;0,VLOOKUP(E152,EquipCost,15)*C152,0)</f>
        <v>0</v>
      </c>
      <c r="G152" s="186"/>
      <c r="H152" s="183">
        <f>+RETax</f>
        <v>35</v>
      </c>
      <c r="I152" s="248">
        <f t="shared" si="3"/>
        <v>35</v>
      </c>
    </row>
    <row r="153" spans="1:9" s="9" customFormat="1">
      <c r="A153" s="260" t="s">
        <v>72</v>
      </c>
      <c r="B153" s="261"/>
      <c r="C153" s="261"/>
      <c r="D153" s="262">
        <f>B153*LaborNoSkill</f>
        <v>0</v>
      </c>
      <c r="E153" s="263"/>
      <c r="F153" s="262">
        <f>IF(E153&gt;0,VLOOKUP(E153,EquipCost,15)*C153,0)</f>
        <v>0</v>
      </c>
      <c r="G153" s="264"/>
      <c r="H153" s="265">
        <f>+other</f>
        <v>12.5</v>
      </c>
      <c r="I153" s="266">
        <f t="shared" si="3"/>
        <v>12.5</v>
      </c>
    </row>
    <row r="154" spans="1:9" s="9" customFormat="1">
      <c r="A154" s="267"/>
      <c r="B154" s="268"/>
      <c r="C154" s="268"/>
      <c r="D154" s="269"/>
      <c r="E154" s="270"/>
      <c r="F154" s="269"/>
      <c r="G154" s="269"/>
      <c r="H154" s="269"/>
      <c r="I154" s="271"/>
    </row>
    <row r="155" spans="1:9" s="7" customFormat="1">
      <c r="A155" s="255" t="s">
        <v>49</v>
      </c>
      <c r="B155" s="256">
        <f>SUM(B127:B154)</f>
        <v>21.427647058823531</v>
      </c>
      <c r="C155" s="256">
        <f>SUM(C127:C154)</f>
        <v>11.355294117647057</v>
      </c>
      <c r="D155" s="257">
        <f>SUM(D127:D154)</f>
        <v>210.60882352941178</v>
      </c>
      <c r="E155" s="258"/>
      <c r="F155" s="257">
        <f>SUM(F127:F154)</f>
        <v>156.10570154061625</v>
      </c>
      <c r="G155" s="257">
        <f>SUM(G127:G154)</f>
        <v>710.32913492063483</v>
      </c>
      <c r="H155" s="257">
        <f>SUM(H127:H154)</f>
        <v>47.5</v>
      </c>
      <c r="I155" s="259">
        <f>SUM(I127:I154)</f>
        <v>1124.5436599906629</v>
      </c>
    </row>
    <row r="156" spans="1:9" s="7" customFormat="1" ht="20.25">
      <c r="A156" s="1320" t="s">
        <v>637</v>
      </c>
      <c r="B156" s="1320"/>
      <c r="C156" s="1320"/>
      <c r="D156" s="1320"/>
      <c r="E156" s="1320"/>
      <c r="F156" s="1320"/>
      <c r="G156" s="1320"/>
      <c r="H156" s="1320"/>
      <c r="I156" s="1320"/>
    </row>
    <row r="157" spans="1:9" s="173" customFormat="1" ht="11.25">
      <c r="A157" s="174" t="s">
        <v>46</v>
      </c>
      <c r="B157" s="175" t="s">
        <v>632</v>
      </c>
      <c r="C157" s="175" t="s">
        <v>631</v>
      </c>
      <c r="D157" s="176" t="s">
        <v>626</v>
      </c>
      <c r="E157" s="177" t="s">
        <v>627</v>
      </c>
      <c r="F157" s="176" t="s">
        <v>628</v>
      </c>
      <c r="G157" s="176" t="s">
        <v>629</v>
      </c>
      <c r="H157" s="176" t="s">
        <v>630</v>
      </c>
      <c r="I157" s="176" t="s">
        <v>271</v>
      </c>
    </row>
    <row r="158" spans="1:9" s="9" customFormat="1">
      <c r="A158" s="272"/>
      <c r="B158" s="273"/>
      <c r="C158" s="273"/>
      <c r="D158" s="227"/>
      <c r="E158" s="228"/>
      <c r="F158" s="227"/>
      <c r="G158" s="227"/>
      <c r="H158" s="227"/>
      <c r="I158" s="274"/>
    </row>
    <row r="159" spans="1:9" s="7" customFormat="1">
      <c r="A159" s="247" t="s">
        <v>89</v>
      </c>
      <c r="B159" s="188">
        <f>+CLTrain5</f>
        <v>10</v>
      </c>
      <c r="C159" s="188">
        <v>2</v>
      </c>
      <c r="D159" s="187">
        <f>B159*LaborNoSkill</f>
        <v>90</v>
      </c>
      <c r="E159" s="185">
        <v>1</v>
      </c>
      <c r="F159" s="187">
        <f>IF(E159&gt;0,VLOOKUP(E159,EquipCost,15)*C159,0)</f>
        <v>30.504000000000001</v>
      </c>
      <c r="G159" s="186">
        <f>+CLTrainMat5</f>
        <v>10</v>
      </c>
      <c r="H159" s="186"/>
      <c r="I159" s="248">
        <f>SUM(F159:H159)+D159</f>
        <v>130.50400000000002</v>
      </c>
    </row>
    <row r="160" spans="1:9" s="7" customFormat="1">
      <c r="A160" s="247" t="s">
        <v>90</v>
      </c>
      <c r="B160" s="188">
        <f>+CLPrune5</f>
        <v>6.7222222222222223</v>
      </c>
      <c r="C160" s="188">
        <f>+B160</f>
        <v>6.7222222222222223</v>
      </c>
      <c r="D160" s="187">
        <f>B160*LaborNoSkill</f>
        <v>60.5</v>
      </c>
      <c r="E160" s="185">
        <v>18</v>
      </c>
      <c r="F160" s="187">
        <f>IF(E160&gt;0,VLOOKUP(E160,EquipCost,15)*C160,0)</f>
        <v>25.181444444444445</v>
      </c>
      <c r="G160" s="186"/>
      <c r="H160" s="186"/>
      <c r="I160" s="248">
        <f>SUM(F160:H160)+D160</f>
        <v>85.681444444444452</v>
      </c>
    </row>
    <row r="161" spans="1:9" s="7" customFormat="1">
      <c r="A161" s="249" t="s">
        <v>110</v>
      </c>
      <c r="B161" s="188">
        <v>0.5</v>
      </c>
      <c r="C161" s="188">
        <f>+B161</f>
        <v>0.5</v>
      </c>
      <c r="D161" s="187">
        <f>B161*LaborSkill</f>
        <v>7.5</v>
      </c>
      <c r="E161" s="185">
        <v>3</v>
      </c>
      <c r="F161" s="187">
        <f>IF(E161&gt;0,VLOOKUP(E161,EquipCost,15)*C161,0)</f>
        <v>6.0774999999999997</v>
      </c>
      <c r="G161" s="186"/>
      <c r="H161" s="186"/>
      <c r="I161" s="248">
        <f>SUM(F161:H161)+D161</f>
        <v>13.577500000000001</v>
      </c>
    </row>
    <row r="162" spans="1:9" s="7" customFormat="1">
      <c r="A162" s="249" t="s">
        <v>111</v>
      </c>
      <c r="B162" s="184">
        <v>0.5</v>
      </c>
      <c r="C162" s="188">
        <f>B162</f>
        <v>0.5</v>
      </c>
      <c r="D162" s="187">
        <f>B162*LaborNoSkill</f>
        <v>4.5</v>
      </c>
      <c r="E162" s="185">
        <v>1</v>
      </c>
      <c r="F162" s="187">
        <f>IF(E162&gt;0,VLOOKUP(E162,EquipCost,15)*C162,0)</f>
        <v>7.6260000000000003</v>
      </c>
      <c r="G162" s="183">
        <f>+CLTree*TreeCost*0.01</f>
        <v>15.125</v>
      </c>
      <c r="H162" s="186"/>
      <c r="I162" s="248">
        <f>SUM(F162:H162)+D162</f>
        <v>27.251000000000001</v>
      </c>
    </row>
    <row r="163" spans="1:9" s="7" customFormat="1">
      <c r="A163" s="250" t="s">
        <v>92</v>
      </c>
      <c r="B163" s="194"/>
      <c r="C163" s="195"/>
      <c r="D163" s="187"/>
      <c r="E163" s="196"/>
      <c r="F163" s="187"/>
      <c r="G163" s="197"/>
      <c r="H163" s="197"/>
      <c r="I163" s="251"/>
    </row>
    <row r="164" spans="1:9" s="7" customFormat="1">
      <c r="A164" s="252" t="s">
        <v>88</v>
      </c>
      <c r="B164" s="194">
        <f>+CLHerbTime</f>
        <v>0.8</v>
      </c>
      <c r="C164" s="195">
        <f>+B164</f>
        <v>0.8</v>
      </c>
      <c r="D164" s="187">
        <f>B164*LaborSkill</f>
        <v>12</v>
      </c>
      <c r="E164" s="196">
        <v>3</v>
      </c>
      <c r="F164" s="187">
        <f>IF(E164&gt;0,VLOOKUP(E164,EquipCost,15)*C164,0)</f>
        <v>9.7240000000000002</v>
      </c>
      <c r="G164" s="197"/>
      <c r="H164" s="197"/>
      <c r="I164" s="251">
        <f>SUM(F164:H164)+D164</f>
        <v>21.724</v>
      </c>
    </row>
    <row r="165" spans="1:9" s="7" customFormat="1">
      <c r="A165" s="253" t="s">
        <v>93</v>
      </c>
      <c r="B165" s="194"/>
      <c r="C165" s="195">
        <f>+C164</f>
        <v>0.8</v>
      </c>
      <c r="D165" s="187"/>
      <c r="E165" s="196">
        <v>5</v>
      </c>
      <c r="F165" s="187">
        <f>IF(E165&gt;0,VLOOKUP(E165,EquipCost,15)*C165,0)</f>
        <v>3.5453333333333337</v>
      </c>
      <c r="G165" s="197">
        <f>+CLHerb5</f>
        <v>9.8839843749999989</v>
      </c>
      <c r="H165" s="197"/>
      <c r="I165" s="251">
        <f>SUM(F165:H165)+D165</f>
        <v>13.429317708333333</v>
      </c>
    </row>
    <row r="166" spans="1:9" s="7" customFormat="1">
      <c r="A166" s="250" t="s">
        <v>94</v>
      </c>
      <c r="B166" s="194"/>
      <c r="C166" s="195"/>
      <c r="D166" s="187"/>
      <c r="E166" s="196"/>
      <c r="F166" s="187"/>
      <c r="G166" s="197"/>
      <c r="H166" s="197"/>
      <c r="I166" s="251"/>
    </row>
    <row r="167" spans="1:9" s="7" customFormat="1">
      <c r="A167" s="253" t="s">
        <v>95</v>
      </c>
      <c r="B167" s="194">
        <f>+CLSprayTIme</f>
        <v>3.6</v>
      </c>
      <c r="C167" s="195">
        <f>+B167</f>
        <v>3.6</v>
      </c>
      <c r="D167" s="187">
        <f>B167*LaborSkill</f>
        <v>54</v>
      </c>
      <c r="E167" s="196">
        <v>2</v>
      </c>
      <c r="F167" s="187">
        <f>IF(E167&gt;0,VLOOKUP(E167,EquipCost,15)*C167,0)</f>
        <v>85.356000000000009</v>
      </c>
      <c r="G167" s="197">
        <f>+CLSprayMat5</f>
        <v>1031.909579613095</v>
      </c>
      <c r="H167" s="197"/>
      <c r="I167" s="251">
        <f>SUM(F167:H167)+D167</f>
        <v>1171.265579613095</v>
      </c>
    </row>
    <row r="168" spans="1:9" s="7" customFormat="1">
      <c r="A168" s="253" t="s">
        <v>96</v>
      </c>
      <c r="B168" s="194"/>
      <c r="C168" s="195">
        <f>+C167</f>
        <v>3.6</v>
      </c>
      <c r="D168" s="187"/>
      <c r="E168" s="196">
        <v>4</v>
      </c>
      <c r="F168" s="187">
        <f>IF(E168&gt;0,VLOOKUP(E168,EquipCost,15)*C168,0)</f>
        <v>37.17</v>
      </c>
      <c r="G168" s="197"/>
      <c r="H168" s="197"/>
      <c r="I168" s="251">
        <f>SUM(F168:H168)+D168</f>
        <v>37.17</v>
      </c>
    </row>
    <row r="169" spans="1:9" s="7" customFormat="1">
      <c r="A169" s="247" t="s">
        <v>103</v>
      </c>
      <c r="B169" s="203"/>
      <c r="C169" s="203"/>
      <c r="D169" s="208"/>
      <c r="E169" s="209"/>
      <c r="F169" s="208"/>
      <c r="G169" s="208"/>
      <c r="H169" s="208"/>
      <c r="I169" s="254"/>
    </row>
    <row r="170" spans="1:9" s="7" customFormat="1">
      <c r="A170" s="249" t="s">
        <v>88</v>
      </c>
      <c r="B170" s="184">
        <f>+CLMowTime5</f>
        <v>0.75</v>
      </c>
      <c r="C170" s="188">
        <f>+B170</f>
        <v>0.75</v>
      </c>
      <c r="D170" s="187">
        <f>B170*LaborNoSkill</f>
        <v>6.75</v>
      </c>
      <c r="E170" s="185">
        <v>3</v>
      </c>
      <c r="F170" s="187">
        <f>IF(E170&gt;0,VLOOKUP(E170,EquipCost,15)*C170,0)</f>
        <v>9.1162499999999991</v>
      </c>
      <c r="G170" s="186"/>
      <c r="H170" s="186"/>
      <c r="I170" s="248">
        <f>SUM(F170:H170)+D170</f>
        <v>15.866249999999999</v>
      </c>
    </row>
    <row r="171" spans="1:9" s="7" customFormat="1">
      <c r="A171" s="246" t="s">
        <v>104</v>
      </c>
      <c r="B171" s="184"/>
      <c r="C171" s="188">
        <f>+C170</f>
        <v>0.75</v>
      </c>
      <c r="D171" s="187"/>
      <c r="E171" s="185">
        <v>7</v>
      </c>
      <c r="F171" s="187">
        <f>IF(E171&gt;0,VLOOKUP(E171,EquipCost,15)*C171,0)</f>
        <v>3.4946428571428574</v>
      </c>
      <c r="G171" s="186"/>
      <c r="H171" s="186"/>
      <c r="I171" s="248">
        <f>SUM(F171:H171)+D171</f>
        <v>3.4946428571428574</v>
      </c>
    </row>
    <row r="172" spans="1:9" s="7" customFormat="1">
      <c r="A172" s="247" t="s">
        <v>105</v>
      </c>
      <c r="B172" s="184"/>
      <c r="C172" s="188"/>
      <c r="D172" s="187"/>
      <c r="E172" s="185"/>
      <c r="F172" s="187"/>
      <c r="G172" s="186"/>
      <c r="H172" s="186"/>
      <c r="I172" s="248"/>
    </row>
    <row r="173" spans="1:9" s="7" customFormat="1">
      <c r="A173" s="249" t="s">
        <v>88</v>
      </c>
      <c r="B173" s="184">
        <f>+CLBaitTime5</f>
        <v>0.11764705882352941</v>
      </c>
      <c r="C173" s="188">
        <f>+B173</f>
        <v>0.11764705882352941</v>
      </c>
      <c r="D173" s="187">
        <f>B173*LaborNoSkill</f>
        <v>1.0588235294117647</v>
      </c>
      <c r="E173" s="185">
        <v>3</v>
      </c>
      <c r="F173" s="187">
        <f>IF(E173&gt;0,VLOOKUP(E173,EquipCost,15)*C173,0)</f>
        <v>1.43</v>
      </c>
      <c r="G173" s="186"/>
      <c r="H173" s="186"/>
      <c r="I173" s="248">
        <f>SUM(F173:H173)+D173</f>
        <v>2.4888235294117647</v>
      </c>
    </row>
    <row r="174" spans="1:9" s="7" customFormat="1">
      <c r="A174" s="249" t="s">
        <v>98</v>
      </c>
      <c r="B174" s="184"/>
      <c r="C174" s="188">
        <f>+C173</f>
        <v>0.11764705882352941</v>
      </c>
      <c r="D174" s="187"/>
      <c r="E174" s="185">
        <v>6</v>
      </c>
      <c r="F174" s="187">
        <f>IF(E174&gt;0,VLOOKUP(E174,EquipCost,15)*C174,0)</f>
        <v>0.36885154061624653</v>
      </c>
      <c r="G174" s="186">
        <f>+CLBait5</f>
        <v>5.5</v>
      </c>
      <c r="H174" s="181"/>
      <c r="I174" s="248">
        <f>SUM(F174:H174)+D174</f>
        <v>5.8688515406162463</v>
      </c>
    </row>
    <row r="175" spans="1:9" s="7" customFormat="1">
      <c r="A175" s="249" t="s">
        <v>107</v>
      </c>
      <c r="B175" s="184">
        <v>2</v>
      </c>
      <c r="C175" s="188">
        <v>1</v>
      </c>
      <c r="D175" s="187">
        <f>B175*LaborNoSkill</f>
        <v>18</v>
      </c>
      <c r="E175" s="185">
        <v>1</v>
      </c>
      <c r="F175" s="187">
        <f>IF(E175&gt;0,VLOOKUP(E175,EquipCost,15)*C175,0)</f>
        <v>15.252000000000001</v>
      </c>
      <c r="G175" s="187">
        <f>+CLWild*CLTree</f>
        <v>10.083333333333334</v>
      </c>
      <c r="H175" s="181"/>
      <c r="I175" s="248">
        <f>SUM(F175:H175)+D175</f>
        <v>43.335333333333338</v>
      </c>
    </row>
    <row r="176" spans="1:9" s="7" customFormat="1">
      <c r="A176" s="247" t="s">
        <v>112</v>
      </c>
      <c r="B176" s="184"/>
      <c r="C176" s="188"/>
      <c r="D176" s="187"/>
      <c r="E176" s="185"/>
      <c r="F176" s="187"/>
      <c r="G176" s="183"/>
      <c r="H176" s="181"/>
      <c r="I176" s="248"/>
    </row>
    <row r="177" spans="1:9" s="7" customFormat="1">
      <c r="A177" s="253" t="s">
        <v>88</v>
      </c>
      <c r="B177" s="194">
        <f>+CLFertTime5</f>
        <v>0.1</v>
      </c>
      <c r="C177" s="195">
        <f>+B177</f>
        <v>0.1</v>
      </c>
      <c r="D177" s="187">
        <f>B177*LaborNoSkill</f>
        <v>0.9</v>
      </c>
      <c r="E177" s="196">
        <v>3</v>
      </c>
      <c r="F177" s="187">
        <f>IF(E177&gt;0,VLOOKUP(E177,EquipCost,15)*C177,0)</f>
        <v>1.2155</v>
      </c>
      <c r="G177" s="187">
        <f>+CLFert5</f>
        <v>8.6338541666666657</v>
      </c>
      <c r="H177" s="197"/>
      <c r="I177" s="251">
        <f>SUM(F177:H177)+D177</f>
        <v>10.749354166666667</v>
      </c>
    </row>
    <row r="178" spans="1:9" s="7" customFormat="1">
      <c r="A178" s="253" t="s">
        <v>98</v>
      </c>
      <c r="B178" s="194"/>
      <c r="C178" s="195">
        <f>+C177</f>
        <v>0.1</v>
      </c>
      <c r="D178" s="187"/>
      <c r="E178" s="196">
        <v>6</v>
      </c>
      <c r="F178" s="187">
        <f>IF(E178&gt;0,VLOOKUP(E178,EquipCost,15)*C178,0)</f>
        <v>0.31352380952380954</v>
      </c>
      <c r="G178" s="197"/>
      <c r="H178" s="197"/>
      <c r="I178" s="251">
        <f>SUM(F178:H178)+D178</f>
        <v>0.31352380952380954</v>
      </c>
    </row>
    <row r="179" spans="1:9" s="7" customFormat="1">
      <c r="A179" s="253" t="s">
        <v>116</v>
      </c>
      <c r="B179" s="184"/>
      <c r="C179" s="188"/>
      <c r="D179" s="187"/>
      <c r="E179" s="185"/>
      <c r="F179" s="187"/>
      <c r="G179" s="183">
        <f>+Lime</f>
        <v>35</v>
      </c>
      <c r="H179" s="186"/>
      <c r="I179" s="248">
        <f t="shared" ref="I179:I184" si="4">SUM(F179:H179)+D179</f>
        <v>35</v>
      </c>
    </row>
    <row r="180" spans="1:9" s="7" customFormat="1">
      <c r="A180" s="246" t="s">
        <v>108</v>
      </c>
      <c r="B180" s="206"/>
      <c r="C180" s="206"/>
      <c r="D180" s="181"/>
      <c r="E180" s="207"/>
      <c r="F180" s="181"/>
      <c r="G180" s="181"/>
      <c r="H180" s="181"/>
      <c r="I180" s="251">
        <f>SUM(F180:H180)+D180</f>
        <v>0</v>
      </c>
    </row>
    <row r="181" spans="1:9" s="7" customFormat="1">
      <c r="A181" s="246" t="s">
        <v>109</v>
      </c>
      <c r="B181" s="206"/>
      <c r="C181" s="206"/>
      <c r="D181" s="181"/>
      <c r="E181" s="207"/>
      <c r="F181" s="181"/>
      <c r="G181" s="181"/>
      <c r="H181" s="181"/>
      <c r="I181" s="251">
        <f>SUM(F181:H181)+D181</f>
        <v>0</v>
      </c>
    </row>
    <row r="182" spans="1:9" s="7" customFormat="1">
      <c r="A182" s="249" t="s">
        <v>115</v>
      </c>
      <c r="B182" s="184">
        <v>0</v>
      </c>
      <c r="C182" s="184">
        <v>0</v>
      </c>
      <c r="D182" s="187">
        <f>B182*LaborNoSkill</f>
        <v>0</v>
      </c>
      <c r="E182" s="207">
        <v>17</v>
      </c>
      <c r="F182" s="187">
        <f>IF(E182&gt;0,VLOOKUP(E182,EquipCost,15)*C182,0)</f>
        <v>0</v>
      </c>
      <c r="G182" s="183"/>
      <c r="H182" s="181"/>
      <c r="I182" s="248">
        <f t="shared" si="4"/>
        <v>0</v>
      </c>
    </row>
    <row r="183" spans="1:9" s="7" customFormat="1">
      <c r="A183" s="249" t="s">
        <v>71</v>
      </c>
      <c r="B183" s="184"/>
      <c r="C183" s="184"/>
      <c r="D183" s="187">
        <f>B183*LaborNoSkill</f>
        <v>0</v>
      </c>
      <c r="E183" s="185"/>
      <c r="F183" s="187">
        <f>IF(E183&gt;0,VLOOKUP(E183,EquipCost,15)*C183,0)</f>
        <v>0</v>
      </c>
      <c r="G183" s="186"/>
      <c r="H183" s="183">
        <f>+RETax</f>
        <v>35</v>
      </c>
      <c r="I183" s="248">
        <f t="shared" si="4"/>
        <v>35</v>
      </c>
    </row>
    <row r="184" spans="1:9" s="9" customFormat="1">
      <c r="A184" s="260" t="s">
        <v>72</v>
      </c>
      <c r="B184" s="261"/>
      <c r="C184" s="261"/>
      <c r="D184" s="262">
        <f>B184*LaborNoSkill</f>
        <v>0</v>
      </c>
      <c r="E184" s="263"/>
      <c r="F184" s="262">
        <f>IF(E184&gt;0,VLOOKUP(E184,EquipCost,15)*C184,0)</f>
        <v>0</v>
      </c>
      <c r="G184" s="264"/>
      <c r="H184" s="265">
        <f>+other</f>
        <v>12.5</v>
      </c>
      <c r="I184" s="266">
        <f t="shared" si="4"/>
        <v>12.5</v>
      </c>
    </row>
    <row r="185" spans="1:9" s="9" customFormat="1">
      <c r="A185" s="267"/>
      <c r="B185" s="268"/>
      <c r="C185" s="268"/>
      <c r="D185" s="269"/>
      <c r="E185" s="270"/>
      <c r="F185" s="269"/>
      <c r="G185" s="269"/>
      <c r="H185" s="269"/>
      <c r="I185" s="271"/>
    </row>
    <row r="186" spans="1:9" s="7" customFormat="1">
      <c r="A186" s="255" t="s">
        <v>49</v>
      </c>
      <c r="B186" s="256">
        <f>SUM(B158:B185)</f>
        <v>25.089869281045754</v>
      </c>
      <c r="C186" s="256">
        <f>SUM(C158:C185)</f>
        <v>21.457516339869283</v>
      </c>
      <c r="D186" s="257">
        <f>SUM(D158:D185)</f>
        <v>255.20882352941177</v>
      </c>
      <c r="E186" s="258"/>
      <c r="F186" s="257">
        <f>SUM(F158:F185)</f>
        <v>236.37504598506075</v>
      </c>
      <c r="G186" s="257">
        <f>SUM(G158:G185)</f>
        <v>1126.1357514880949</v>
      </c>
      <c r="H186" s="257">
        <f>SUM(H158:H185)</f>
        <v>47.5</v>
      </c>
      <c r="I186" s="259">
        <f>SUM(I158:I185)</f>
        <v>1665.2196210025679</v>
      </c>
    </row>
    <row r="187" spans="1:9" s="7" customFormat="1" ht="20.25">
      <c r="A187" s="1320" t="s">
        <v>645</v>
      </c>
      <c r="B187" s="1320"/>
      <c r="C187" s="1320"/>
      <c r="D187" s="1320"/>
      <c r="E187" s="1320"/>
      <c r="F187" s="1320"/>
      <c r="G187" s="1320"/>
      <c r="H187" s="1320"/>
      <c r="I187" s="1320"/>
    </row>
    <row r="188" spans="1:9" s="173" customFormat="1" ht="11.25">
      <c r="A188" s="174" t="s">
        <v>46</v>
      </c>
      <c r="B188" s="175" t="s">
        <v>632</v>
      </c>
      <c r="C188" s="175" t="s">
        <v>631</v>
      </c>
      <c r="D188" s="176" t="s">
        <v>626</v>
      </c>
      <c r="E188" s="177" t="s">
        <v>627</v>
      </c>
      <c r="F188" s="176" t="s">
        <v>628</v>
      </c>
      <c r="G188" s="176" t="s">
        <v>629</v>
      </c>
      <c r="H188" s="176" t="s">
        <v>630</v>
      </c>
      <c r="I188" s="176" t="s">
        <v>271</v>
      </c>
    </row>
    <row r="189" spans="1:9" s="7" customFormat="1">
      <c r="A189" s="272"/>
      <c r="B189" s="273"/>
      <c r="C189" s="273"/>
      <c r="D189" s="227"/>
      <c r="E189" s="228"/>
      <c r="F189" s="227"/>
      <c r="G189" s="227"/>
      <c r="H189" s="227"/>
      <c r="I189" s="274"/>
    </row>
    <row r="190" spans="1:9" s="7" customFormat="1">
      <c r="A190" s="247" t="s">
        <v>89</v>
      </c>
      <c r="B190" s="188">
        <f>+CLTrain6</f>
        <v>5</v>
      </c>
      <c r="C190" s="188">
        <v>2</v>
      </c>
      <c r="D190" s="187">
        <f>B190*LaborNoSkill</f>
        <v>45</v>
      </c>
      <c r="E190" s="185">
        <v>1</v>
      </c>
      <c r="F190" s="187">
        <f>IF(E190&gt;0,VLOOKUP(E190,EquipCost,15)*C190,0)</f>
        <v>30.504000000000001</v>
      </c>
      <c r="G190" s="186">
        <f>+CLTrainMat6</f>
        <v>5</v>
      </c>
      <c r="H190" s="186"/>
      <c r="I190" s="248">
        <f>SUM(F190:H190)+D190</f>
        <v>80.504000000000005</v>
      </c>
    </row>
    <row r="191" spans="1:9" s="7" customFormat="1">
      <c r="A191" s="247" t="s">
        <v>90</v>
      </c>
      <c r="B191" s="188">
        <f>+CLPrune6</f>
        <v>13.444444444444445</v>
      </c>
      <c r="C191" s="188">
        <f>+B191</f>
        <v>13.444444444444445</v>
      </c>
      <c r="D191" s="187">
        <f>B191*LaborNoSkill</f>
        <v>121</v>
      </c>
      <c r="E191" s="185">
        <v>18</v>
      </c>
      <c r="F191" s="187">
        <f>IF(E191&gt;0,VLOOKUP(E191,EquipCost,15)*C191,0)</f>
        <v>50.362888888888889</v>
      </c>
      <c r="G191" s="186"/>
      <c r="H191" s="186"/>
      <c r="I191" s="248">
        <f>SUM(F191:H191)+D191</f>
        <v>171.3628888888889</v>
      </c>
    </row>
    <row r="192" spans="1:9" s="7" customFormat="1">
      <c r="A192" s="249" t="s">
        <v>110</v>
      </c>
      <c r="B192" s="188">
        <v>1</v>
      </c>
      <c r="C192" s="188">
        <f>+B192</f>
        <v>1</v>
      </c>
      <c r="D192" s="187">
        <f>B192*LaborSkill</f>
        <v>15</v>
      </c>
      <c r="E192" s="185">
        <v>3</v>
      </c>
      <c r="F192" s="187">
        <f>IF(E192&gt;0,VLOOKUP(E192,EquipCost,15)*C192,0)</f>
        <v>12.154999999999999</v>
      </c>
      <c r="G192" s="186"/>
      <c r="H192" s="186"/>
      <c r="I192" s="248">
        <f>SUM(F192:H192)+D192</f>
        <v>27.155000000000001</v>
      </c>
    </row>
    <row r="193" spans="1:9" s="7" customFormat="1">
      <c r="A193" s="249" t="s">
        <v>111</v>
      </c>
      <c r="B193" s="184">
        <v>0.5</v>
      </c>
      <c r="C193" s="188">
        <f>B193</f>
        <v>0.5</v>
      </c>
      <c r="D193" s="187">
        <f>B193*LaborNoSkill</f>
        <v>4.5</v>
      </c>
      <c r="E193" s="185">
        <v>1</v>
      </c>
      <c r="F193" s="187">
        <f>IF(E193&gt;0,VLOOKUP(E193,EquipCost,15)*C193,0)</f>
        <v>7.6260000000000003</v>
      </c>
      <c r="G193" s="183">
        <f>+CLTree*TreeCost*0.01</f>
        <v>15.125</v>
      </c>
      <c r="H193" s="186"/>
      <c r="I193" s="248">
        <f>SUM(F193:H193)+D193</f>
        <v>27.251000000000001</v>
      </c>
    </row>
    <row r="194" spans="1:9" s="7" customFormat="1">
      <c r="A194" s="250" t="s">
        <v>92</v>
      </c>
      <c r="B194" s="194"/>
      <c r="C194" s="195"/>
      <c r="D194" s="187"/>
      <c r="E194" s="196"/>
      <c r="F194" s="187"/>
      <c r="G194" s="197"/>
      <c r="H194" s="197"/>
      <c r="I194" s="251"/>
    </row>
    <row r="195" spans="1:9" s="7" customFormat="1">
      <c r="A195" s="252" t="s">
        <v>88</v>
      </c>
      <c r="B195" s="194">
        <f>+CLHerbTime</f>
        <v>0.8</v>
      </c>
      <c r="C195" s="195">
        <f>+B195</f>
        <v>0.8</v>
      </c>
      <c r="D195" s="187">
        <f>B195*LaborSkill</f>
        <v>12</v>
      </c>
      <c r="E195" s="196">
        <v>3</v>
      </c>
      <c r="F195" s="187">
        <f>IF(E195&gt;0,VLOOKUP(E195,EquipCost,15)*C195,0)</f>
        <v>9.7240000000000002</v>
      </c>
      <c r="G195" s="197"/>
      <c r="H195" s="197"/>
      <c r="I195" s="251">
        <f>SUM(F195:H195)+D195</f>
        <v>21.724</v>
      </c>
    </row>
    <row r="196" spans="1:9" s="7" customFormat="1">
      <c r="A196" s="253" t="s">
        <v>93</v>
      </c>
      <c r="B196" s="194"/>
      <c r="C196" s="195">
        <f>+C195</f>
        <v>0.8</v>
      </c>
      <c r="D196" s="187"/>
      <c r="E196" s="196">
        <v>5</v>
      </c>
      <c r="F196" s="187">
        <f>IF(E196&gt;0,VLOOKUP(E196,EquipCost,15)*C196,0)</f>
        <v>3.5453333333333337</v>
      </c>
      <c r="G196" s="197">
        <f>+CLHerb6</f>
        <v>13.178645833333333</v>
      </c>
      <c r="H196" s="197"/>
      <c r="I196" s="251">
        <f>SUM(F196:H196)+D196</f>
        <v>16.723979166666666</v>
      </c>
    </row>
    <row r="197" spans="1:9" s="7" customFormat="1">
      <c r="A197" s="250" t="s">
        <v>94</v>
      </c>
      <c r="B197" s="194"/>
      <c r="C197" s="195"/>
      <c r="D197" s="187"/>
      <c r="E197" s="196"/>
      <c r="F197" s="187"/>
      <c r="G197" s="197"/>
      <c r="H197" s="197"/>
      <c r="I197" s="251"/>
    </row>
    <row r="198" spans="1:9" s="7" customFormat="1">
      <c r="A198" s="253" t="s">
        <v>95</v>
      </c>
      <c r="B198" s="194">
        <f>+CLSprayTIme</f>
        <v>3.6</v>
      </c>
      <c r="C198" s="195">
        <f>+B198</f>
        <v>3.6</v>
      </c>
      <c r="D198" s="187">
        <f>B198*LaborSkill</f>
        <v>54</v>
      </c>
      <c r="E198" s="196">
        <v>2</v>
      </c>
      <c r="F198" s="187">
        <f>IF(E198&gt;0,VLOOKUP(E198,EquipCost,15)*C198,0)</f>
        <v>85.356000000000009</v>
      </c>
      <c r="G198" s="197">
        <f>+CLSprayMat6</f>
        <v>1031.909579613095</v>
      </c>
      <c r="H198" s="197"/>
      <c r="I198" s="251">
        <f>SUM(F198:H198)+D198</f>
        <v>1171.265579613095</v>
      </c>
    </row>
    <row r="199" spans="1:9" s="7" customFormat="1">
      <c r="A199" s="253" t="s">
        <v>96</v>
      </c>
      <c r="B199" s="194"/>
      <c r="C199" s="195">
        <f>+C198</f>
        <v>3.6</v>
      </c>
      <c r="D199" s="187"/>
      <c r="E199" s="196">
        <v>4</v>
      </c>
      <c r="F199" s="187">
        <f>IF(E199&gt;0,VLOOKUP(E199,EquipCost,15)*C199,0)</f>
        <v>37.17</v>
      </c>
      <c r="G199" s="197"/>
      <c r="H199" s="197"/>
      <c r="I199" s="251">
        <f>SUM(F199:H199)+D199</f>
        <v>37.17</v>
      </c>
    </row>
    <row r="200" spans="1:9" s="7" customFormat="1">
      <c r="A200" s="247" t="s">
        <v>103</v>
      </c>
      <c r="B200" s="203"/>
      <c r="C200" s="203"/>
      <c r="D200" s="208"/>
      <c r="E200" s="209"/>
      <c r="F200" s="208"/>
      <c r="G200" s="208"/>
      <c r="H200" s="208"/>
      <c r="I200" s="254"/>
    </row>
    <row r="201" spans="1:9" s="7" customFormat="1">
      <c r="A201" s="249" t="s">
        <v>88</v>
      </c>
      <c r="B201" s="184">
        <f>+CLMowTime6</f>
        <v>0.75</v>
      </c>
      <c r="C201" s="188">
        <f>+B201</f>
        <v>0.75</v>
      </c>
      <c r="D201" s="187">
        <f>B201*LaborNoSkill</f>
        <v>6.75</v>
      </c>
      <c r="E201" s="185">
        <v>3</v>
      </c>
      <c r="F201" s="187">
        <f>IF(E201&gt;0,VLOOKUP(E201,EquipCost,15)*C201,0)</f>
        <v>9.1162499999999991</v>
      </c>
      <c r="G201" s="186"/>
      <c r="H201" s="186"/>
      <c r="I201" s="248">
        <f>SUM(F201:H201)+D201</f>
        <v>15.866249999999999</v>
      </c>
    </row>
    <row r="202" spans="1:9" s="7" customFormat="1">
      <c r="A202" s="246" t="s">
        <v>104</v>
      </c>
      <c r="B202" s="184"/>
      <c r="C202" s="188">
        <f>+C201</f>
        <v>0.75</v>
      </c>
      <c r="D202" s="187"/>
      <c r="E202" s="185">
        <v>7</v>
      </c>
      <c r="F202" s="187">
        <f>IF(E202&gt;0,VLOOKUP(E202,EquipCost,15)*C202,0)</f>
        <v>3.4946428571428574</v>
      </c>
      <c r="G202" s="186"/>
      <c r="H202" s="186"/>
      <c r="I202" s="248">
        <f>SUM(F202:H202)+D202</f>
        <v>3.4946428571428574</v>
      </c>
    </row>
    <row r="203" spans="1:9" s="7" customFormat="1">
      <c r="A203" s="247" t="s">
        <v>105</v>
      </c>
      <c r="B203" s="184"/>
      <c r="C203" s="188"/>
      <c r="D203" s="187"/>
      <c r="E203" s="185"/>
      <c r="F203" s="187"/>
      <c r="G203" s="186"/>
      <c r="H203" s="186"/>
      <c r="I203" s="248"/>
    </row>
    <row r="204" spans="1:9" s="7" customFormat="1">
      <c r="A204" s="249" t="s">
        <v>88</v>
      </c>
      <c r="B204" s="184">
        <f>+CLBaitTime6</f>
        <v>0.11764705882352941</v>
      </c>
      <c r="C204" s="188">
        <f>+B204</f>
        <v>0.11764705882352941</v>
      </c>
      <c r="D204" s="187">
        <f>B204*LaborNoSkill</f>
        <v>1.0588235294117647</v>
      </c>
      <c r="E204" s="185">
        <v>3</v>
      </c>
      <c r="F204" s="187">
        <f>IF(E204&gt;0,VLOOKUP(E204,EquipCost,15)*C204,0)</f>
        <v>1.43</v>
      </c>
      <c r="G204" s="186"/>
      <c r="H204" s="186"/>
      <c r="I204" s="248">
        <f>SUM(F204:H204)+D204</f>
        <v>2.4888235294117647</v>
      </c>
    </row>
    <row r="205" spans="1:9" s="7" customFormat="1">
      <c r="A205" s="249" t="s">
        <v>98</v>
      </c>
      <c r="B205" s="184"/>
      <c r="C205" s="188">
        <f>+C204</f>
        <v>0.11764705882352941</v>
      </c>
      <c r="D205" s="187"/>
      <c r="E205" s="185">
        <v>6</v>
      </c>
      <c r="F205" s="187">
        <f>IF(E205&gt;0,VLOOKUP(E205,EquipCost,15)*C205,0)</f>
        <v>0.36885154061624653</v>
      </c>
      <c r="G205" s="186">
        <f>+CLBait6</f>
        <v>5.5</v>
      </c>
      <c r="H205" s="181"/>
      <c r="I205" s="248">
        <f>SUM(F205:H205)+D205</f>
        <v>5.8688515406162463</v>
      </c>
    </row>
    <row r="206" spans="1:9" s="7" customFormat="1">
      <c r="A206" s="249" t="s">
        <v>107</v>
      </c>
      <c r="B206" s="184">
        <v>2</v>
      </c>
      <c r="C206" s="188">
        <v>1</v>
      </c>
      <c r="D206" s="187">
        <f>B206*LaborNoSkill</f>
        <v>18</v>
      </c>
      <c r="E206" s="185">
        <v>1</v>
      </c>
      <c r="F206" s="187">
        <f>IF(E206&gt;0,VLOOKUP(E206,EquipCost,15)*C206,0)</f>
        <v>15.252000000000001</v>
      </c>
      <c r="G206" s="187">
        <f>+CLWild*CLTree</f>
        <v>10.083333333333334</v>
      </c>
      <c r="H206" s="181"/>
      <c r="I206" s="248">
        <f>SUM(F206:H206)+D206</f>
        <v>43.335333333333338</v>
      </c>
    </row>
    <row r="207" spans="1:9" s="7" customFormat="1">
      <c r="A207" s="247" t="s">
        <v>112</v>
      </c>
      <c r="B207" s="184"/>
      <c r="C207" s="188"/>
      <c r="D207" s="187"/>
      <c r="E207" s="185"/>
      <c r="F207" s="187"/>
      <c r="G207" s="183"/>
      <c r="H207" s="181"/>
      <c r="I207" s="248"/>
    </row>
    <row r="208" spans="1:9" s="7" customFormat="1">
      <c r="A208" s="253" t="s">
        <v>88</v>
      </c>
      <c r="B208" s="194">
        <f>+CLFertTime6</f>
        <v>0.1</v>
      </c>
      <c r="C208" s="195">
        <f>+B208</f>
        <v>0.1</v>
      </c>
      <c r="D208" s="187">
        <f>B208*LaborNoSkill</f>
        <v>0.9</v>
      </c>
      <c r="E208" s="196">
        <v>3</v>
      </c>
      <c r="F208" s="187">
        <f>IF(E208&gt;0,VLOOKUP(E208,EquipCost,15)*C208,0)</f>
        <v>1.2155</v>
      </c>
      <c r="G208" s="187">
        <f>+CLFert6</f>
        <v>10.965624999999999</v>
      </c>
      <c r="H208" s="197"/>
      <c r="I208" s="251">
        <f t="shared" ref="I208:I215" si="5">SUM(F208:H208)+D208</f>
        <v>13.081125</v>
      </c>
    </row>
    <row r="209" spans="1:9" s="7" customFormat="1">
      <c r="A209" s="253" t="s">
        <v>98</v>
      </c>
      <c r="B209" s="194"/>
      <c r="C209" s="195">
        <f>+C208</f>
        <v>0.1</v>
      </c>
      <c r="D209" s="187"/>
      <c r="E209" s="196">
        <v>6</v>
      </c>
      <c r="F209" s="187">
        <f>IF(E209&gt;0,VLOOKUP(E209,EquipCost,15)*C209,0)</f>
        <v>0.31352380952380954</v>
      </c>
      <c r="G209" s="197"/>
      <c r="H209" s="197"/>
      <c r="I209" s="251">
        <f t="shared" si="5"/>
        <v>0.31352380952380954</v>
      </c>
    </row>
    <row r="210" spans="1:9" s="7" customFormat="1">
      <c r="A210" s="253" t="s">
        <v>114</v>
      </c>
      <c r="B210" s="184"/>
      <c r="C210" s="188"/>
      <c r="D210" s="187"/>
      <c r="E210" s="185"/>
      <c r="F210" s="187"/>
      <c r="G210" s="183">
        <f>+Lime</f>
        <v>35</v>
      </c>
      <c r="H210" s="186"/>
      <c r="I210" s="248">
        <f t="shared" si="5"/>
        <v>35</v>
      </c>
    </row>
    <row r="211" spans="1:9" s="7" customFormat="1">
      <c r="A211" s="246" t="s">
        <v>108</v>
      </c>
      <c r="B211" s="206"/>
      <c r="C211" s="206"/>
      <c r="D211" s="181"/>
      <c r="E211" s="207"/>
      <c r="F211" s="181"/>
      <c r="G211" s="181"/>
      <c r="H211" s="181">
        <v>15</v>
      </c>
      <c r="I211" s="251">
        <f t="shared" si="5"/>
        <v>15</v>
      </c>
    </row>
    <row r="212" spans="1:9" s="7" customFormat="1">
      <c r="A212" s="246" t="s">
        <v>109</v>
      </c>
      <c r="B212" s="206"/>
      <c r="C212" s="206"/>
      <c r="D212" s="181"/>
      <c r="E212" s="207"/>
      <c r="F212" s="181"/>
      <c r="G212" s="181"/>
      <c r="H212" s="181">
        <v>35</v>
      </c>
      <c r="I212" s="251">
        <f t="shared" si="5"/>
        <v>35</v>
      </c>
    </row>
    <row r="213" spans="1:9" s="7" customFormat="1">
      <c r="A213" s="249" t="s">
        <v>115</v>
      </c>
      <c r="B213" s="184">
        <v>0</v>
      </c>
      <c r="C213" s="184">
        <v>0</v>
      </c>
      <c r="D213" s="187">
        <f>B213*LaborNoSkill</f>
        <v>0</v>
      </c>
      <c r="E213" s="207">
        <v>17</v>
      </c>
      <c r="F213" s="187">
        <f>IF(E213&gt;0,VLOOKUP(E213,EquipCost,15)*C213,0)</f>
        <v>0</v>
      </c>
      <c r="G213" s="183"/>
      <c r="H213" s="181"/>
      <c r="I213" s="248">
        <f t="shared" si="5"/>
        <v>0</v>
      </c>
    </row>
    <row r="214" spans="1:9" s="7" customFormat="1">
      <c r="A214" s="249" t="s">
        <v>71</v>
      </c>
      <c r="B214" s="184"/>
      <c r="C214" s="184"/>
      <c r="D214" s="187">
        <f>B214*LaborNoSkill</f>
        <v>0</v>
      </c>
      <c r="E214" s="185"/>
      <c r="F214" s="187">
        <f>IF(E214&gt;0,VLOOKUP(E214,EquipCost,15)*C214,0)</f>
        <v>0</v>
      </c>
      <c r="G214" s="186"/>
      <c r="H214" s="183">
        <f>+RETax</f>
        <v>35</v>
      </c>
      <c r="I214" s="248">
        <f t="shared" si="5"/>
        <v>35</v>
      </c>
    </row>
    <row r="215" spans="1:9" s="7" customFormat="1">
      <c r="A215" s="260" t="s">
        <v>72</v>
      </c>
      <c r="B215" s="261"/>
      <c r="C215" s="261"/>
      <c r="D215" s="262">
        <f>B215*LaborNoSkill</f>
        <v>0</v>
      </c>
      <c r="E215" s="263"/>
      <c r="F215" s="262">
        <f>IF(E215&gt;0,VLOOKUP(E215,EquipCost,15)*C215,0)</f>
        <v>0</v>
      </c>
      <c r="G215" s="264"/>
      <c r="H215" s="265">
        <f>+other</f>
        <v>12.5</v>
      </c>
      <c r="I215" s="266">
        <f t="shared" si="5"/>
        <v>12.5</v>
      </c>
    </row>
    <row r="216" spans="1:9" s="7" customFormat="1">
      <c r="A216" s="267"/>
      <c r="B216" s="268"/>
      <c r="C216" s="268"/>
      <c r="D216" s="269"/>
      <c r="E216" s="270"/>
      <c r="F216" s="269"/>
      <c r="G216" s="269"/>
      <c r="H216" s="269"/>
      <c r="I216" s="271"/>
    </row>
    <row r="217" spans="1:9" s="7" customFormat="1">
      <c r="A217" s="255" t="s">
        <v>49</v>
      </c>
      <c r="B217" s="256">
        <f>SUM(B189:B216)</f>
        <v>27.312091503267975</v>
      </c>
      <c r="C217" s="256">
        <f>SUM(C189:C216)</f>
        <v>28.679738562091508</v>
      </c>
      <c r="D217" s="257">
        <f>SUM(D189:D216)</f>
        <v>278.20882352941175</v>
      </c>
      <c r="E217" s="293"/>
      <c r="F217" s="257">
        <f>SUM(F189:F216)</f>
        <v>267.63399042950516</v>
      </c>
      <c r="G217" s="257">
        <f>SUM(G189:G216)</f>
        <v>1126.7621837797617</v>
      </c>
      <c r="H217" s="257">
        <f>SUM(H189:H216)</f>
        <v>97.5</v>
      </c>
      <c r="I217" s="259">
        <f>SUM(I189:I216)</f>
        <v>1770.104997738679</v>
      </c>
    </row>
    <row r="218" spans="1:9" s="7" customFormat="1" ht="20.25">
      <c r="A218" s="1320" t="s">
        <v>644</v>
      </c>
      <c r="B218" s="1320"/>
      <c r="C218" s="1320"/>
      <c r="D218" s="1320"/>
      <c r="E218" s="1320"/>
      <c r="F218" s="1320"/>
      <c r="G218" s="1320"/>
      <c r="H218" s="1320"/>
      <c r="I218" s="1320"/>
    </row>
    <row r="219" spans="1:9" s="173" customFormat="1" ht="11.25">
      <c r="A219" s="174" t="s">
        <v>46</v>
      </c>
      <c r="B219" s="175" t="s">
        <v>632</v>
      </c>
      <c r="C219" s="175" t="s">
        <v>631</v>
      </c>
      <c r="D219" s="176" t="s">
        <v>626</v>
      </c>
      <c r="E219" s="177" t="s">
        <v>627</v>
      </c>
      <c r="F219" s="176" t="s">
        <v>628</v>
      </c>
      <c r="G219" s="176" t="s">
        <v>629</v>
      </c>
      <c r="H219" s="176" t="s">
        <v>630</v>
      </c>
      <c r="I219" s="176" t="s">
        <v>271</v>
      </c>
    </row>
    <row r="220" spans="1:9" s="7" customFormat="1">
      <c r="A220" s="272"/>
      <c r="B220" s="273"/>
      <c r="C220" s="273"/>
      <c r="D220" s="227"/>
      <c r="E220" s="228"/>
      <c r="F220" s="227"/>
      <c r="G220" s="227"/>
      <c r="H220" s="227"/>
      <c r="I220" s="274"/>
    </row>
    <row r="221" spans="1:9" s="7" customFormat="1">
      <c r="A221" s="247" t="s">
        <v>89</v>
      </c>
      <c r="B221" s="188">
        <f>+CLTrain7</f>
        <v>5</v>
      </c>
      <c r="C221" s="188">
        <v>2</v>
      </c>
      <c r="D221" s="187">
        <f>B221*LaborNoSkill</f>
        <v>45</v>
      </c>
      <c r="E221" s="185">
        <v>1</v>
      </c>
      <c r="F221" s="187">
        <f>IF(E221&gt;0,VLOOKUP(E221,EquipCost,15)*C221,0)</f>
        <v>30.504000000000001</v>
      </c>
      <c r="G221" s="186">
        <f>+CLTrainMat7</f>
        <v>0</v>
      </c>
      <c r="H221" s="186"/>
      <c r="I221" s="248">
        <f>SUM(F221:H221)+D221</f>
        <v>75.504000000000005</v>
      </c>
    </row>
    <row r="222" spans="1:9" s="7" customFormat="1">
      <c r="A222" s="247" t="s">
        <v>90</v>
      </c>
      <c r="B222" s="188">
        <f>+CLPrune7</f>
        <v>26.888888888888889</v>
      </c>
      <c r="C222" s="188">
        <f>+B222</f>
        <v>26.888888888888889</v>
      </c>
      <c r="D222" s="187">
        <f>B222*LaborNoSkill</f>
        <v>242</v>
      </c>
      <c r="E222" s="185">
        <v>18</v>
      </c>
      <c r="F222" s="187">
        <f>IF(E222&gt;0,VLOOKUP(E222,EquipCost,15)*C222,0)</f>
        <v>100.72577777777778</v>
      </c>
      <c r="G222" s="186"/>
      <c r="H222" s="186"/>
      <c r="I222" s="248">
        <f>SUM(F222:H222)+D222</f>
        <v>342.72577777777781</v>
      </c>
    </row>
    <row r="223" spans="1:9" s="7" customFormat="1">
      <c r="A223" s="249" t="s">
        <v>110</v>
      </c>
      <c r="B223" s="188">
        <v>2</v>
      </c>
      <c r="C223" s="188">
        <f>+B223</f>
        <v>2</v>
      </c>
      <c r="D223" s="187">
        <f>B223*LaborSkill</f>
        <v>30</v>
      </c>
      <c r="E223" s="185">
        <v>3</v>
      </c>
      <c r="F223" s="187">
        <f>IF(E223&gt;0,VLOOKUP(E223,EquipCost,15)*C223,0)</f>
        <v>24.31</v>
      </c>
      <c r="G223" s="186"/>
      <c r="H223" s="186"/>
      <c r="I223" s="248">
        <f>SUM(F223:H223)+D223</f>
        <v>54.31</v>
      </c>
    </row>
    <row r="224" spans="1:9" s="7" customFormat="1">
      <c r="A224" s="249" t="s">
        <v>111</v>
      </c>
      <c r="B224" s="184">
        <v>0.5</v>
      </c>
      <c r="C224" s="188">
        <f>B224</f>
        <v>0.5</v>
      </c>
      <c r="D224" s="187">
        <f>B224*LaborNoSkill</f>
        <v>4.5</v>
      </c>
      <c r="E224" s="185">
        <v>1</v>
      </c>
      <c r="F224" s="187">
        <f>IF(E224&gt;0,VLOOKUP(E224,EquipCost,15)*C224,0)</f>
        <v>7.6260000000000003</v>
      </c>
      <c r="G224" s="183">
        <f>+CLTree*TreeCost*0.01</f>
        <v>15.125</v>
      </c>
      <c r="H224" s="186"/>
      <c r="I224" s="248">
        <f>SUM(F224:H224)+D224</f>
        <v>27.251000000000001</v>
      </c>
    </row>
    <row r="225" spans="1:9" s="7" customFormat="1">
      <c r="A225" s="250" t="s">
        <v>92</v>
      </c>
      <c r="B225" s="194"/>
      <c r="C225" s="195"/>
      <c r="D225" s="187"/>
      <c r="E225" s="196"/>
      <c r="F225" s="187"/>
      <c r="G225" s="197"/>
      <c r="H225" s="197"/>
      <c r="I225" s="251"/>
    </row>
    <row r="226" spans="1:9" s="7" customFormat="1">
      <c r="A226" s="252" t="s">
        <v>88</v>
      </c>
      <c r="B226" s="194">
        <f>+CLHerbTime</f>
        <v>0.8</v>
      </c>
      <c r="C226" s="195">
        <f>+B226</f>
        <v>0.8</v>
      </c>
      <c r="D226" s="187">
        <f>B226*LaborSkill</f>
        <v>12</v>
      </c>
      <c r="E226" s="196">
        <v>3</v>
      </c>
      <c r="F226" s="187">
        <f>IF(E226&gt;0,VLOOKUP(E226,EquipCost,15)*C226,0)</f>
        <v>9.7240000000000002</v>
      </c>
      <c r="G226" s="197"/>
      <c r="H226" s="197"/>
      <c r="I226" s="251">
        <f>SUM(F226:H226)+D226</f>
        <v>21.724</v>
      </c>
    </row>
    <row r="227" spans="1:9" s="7" customFormat="1">
      <c r="A227" s="253" t="s">
        <v>93</v>
      </c>
      <c r="B227" s="194"/>
      <c r="C227" s="195">
        <f>+C226</f>
        <v>0.8</v>
      </c>
      <c r="D227" s="187"/>
      <c r="E227" s="196">
        <v>5</v>
      </c>
      <c r="F227" s="187">
        <f>IF(E227&gt;0,VLOOKUP(E227,EquipCost,15)*C227,0)</f>
        <v>3.5453333333333337</v>
      </c>
      <c r="G227" s="197">
        <f>+CLHerb7</f>
        <v>13.178645833333333</v>
      </c>
      <c r="H227" s="197"/>
      <c r="I227" s="251">
        <f>SUM(F227:H227)+D227</f>
        <v>16.723979166666666</v>
      </c>
    </row>
    <row r="228" spans="1:9" s="7" customFormat="1">
      <c r="A228" s="250" t="s">
        <v>94</v>
      </c>
      <c r="B228" s="194"/>
      <c r="C228" s="195"/>
      <c r="D228" s="187"/>
      <c r="E228" s="196"/>
      <c r="F228" s="187"/>
      <c r="G228" s="197"/>
      <c r="H228" s="197"/>
      <c r="I228" s="251"/>
    </row>
    <row r="229" spans="1:9" s="7" customFormat="1">
      <c r="A229" s="253" t="s">
        <v>95</v>
      </c>
      <c r="B229" s="194">
        <f>+CLSprayTIme</f>
        <v>3.6</v>
      </c>
      <c r="C229" s="195">
        <f>+B229</f>
        <v>3.6</v>
      </c>
      <c r="D229" s="187">
        <f>B229*LaborSkill</f>
        <v>54</v>
      </c>
      <c r="E229" s="196">
        <v>2</v>
      </c>
      <c r="F229" s="187">
        <f>IF(E229&gt;0,VLOOKUP(E229,EquipCost,15)*C229,0)</f>
        <v>85.356000000000009</v>
      </c>
      <c r="G229" s="197">
        <f>+CLSprayMat7</f>
        <v>1031.909579613095</v>
      </c>
      <c r="H229" s="197"/>
      <c r="I229" s="251">
        <f>SUM(F229:H229)+D229</f>
        <v>1171.265579613095</v>
      </c>
    </row>
    <row r="230" spans="1:9" s="7" customFormat="1">
      <c r="A230" s="253" t="s">
        <v>96</v>
      </c>
      <c r="B230" s="194"/>
      <c r="C230" s="195">
        <f>+C229</f>
        <v>3.6</v>
      </c>
      <c r="D230" s="187"/>
      <c r="E230" s="196">
        <v>4</v>
      </c>
      <c r="F230" s="187">
        <f>IF(E230&gt;0,VLOOKUP(E230,EquipCost,15)*C230,0)</f>
        <v>37.17</v>
      </c>
      <c r="G230" s="197"/>
      <c r="H230" s="197"/>
      <c r="I230" s="251">
        <f>SUM(F230:H230)+D230</f>
        <v>37.17</v>
      </c>
    </row>
    <row r="231" spans="1:9" s="7" customFormat="1">
      <c r="A231" s="247" t="s">
        <v>103</v>
      </c>
      <c r="B231" s="203"/>
      <c r="C231" s="203"/>
      <c r="D231" s="208"/>
      <c r="E231" s="209"/>
      <c r="F231" s="208"/>
      <c r="G231" s="208"/>
      <c r="H231" s="208"/>
      <c r="I231" s="254"/>
    </row>
    <row r="232" spans="1:9" s="7" customFormat="1">
      <c r="A232" s="249" t="s">
        <v>88</v>
      </c>
      <c r="B232" s="184">
        <f>+CLMowTime6</f>
        <v>0.75</v>
      </c>
      <c r="C232" s="188">
        <f>+B232</f>
        <v>0.75</v>
      </c>
      <c r="D232" s="187">
        <f>B232*LaborNoSkill</f>
        <v>6.75</v>
      </c>
      <c r="E232" s="185">
        <v>3</v>
      </c>
      <c r="F232" s="187">
        <f>IF(E232&gt;0,VLOOKUP(E232,EquipCost,15)*C232,0)</f>
        <v>9.1162499999999991</v>
      </c>
      <c r="G232" s="186"/>
      <c r="H232" s="186"/>
      <c r="I232" s="248">
        <f>SUM(F232:H232)+D232</f>
        <v>15.866249999999999</v>
      </c>
    </row>
    <row r="233" spans="1:9" s="7" customFormat="1">
      <c r="A233" s="246" t="s">
        <v>104</v>
      </c>
      <c r="B233" s="184"/>
      <c r="C233" s="188">
        <f>+C232</f>
        <v>0.75</v>
      </c>
      <c r="D233" s="187"/>
      <c r="E233" s="185">
        <v>7</v>
      </c>
      <c r="F233" s="187">
        <f>IF(E233&gt;0,VLOOKUP(E233,EquipCost,15)*C233,0)</f>
        <v>3.4946428571428574</v>
      </c>
      <c r="G233" s="186"/>
      <c r="H233" s="186"/>
      <c r="I233" s="248">
        <f>SUM(F233:H233)+D233</f>
        <v>3.4946428571428574</v>
      </c>
    </row>
    <row r="234" spans="1:9" s="7" customFormat="1">
      <c r="A234" s="247" t="s">
        <v>105</v>
      </c>
      <c r="B234" s="184"/>
      <c r="C234" s="188"/>
      <c r="D234" s="187"/>
      <c r="E234" s="185"/>
      <c r="F234" s="187"/>
      <c r="G234" s="186"/>
      <c r="H234" s="186"/>
      <c r="I234" s="248"/>
    </row>
    <row r="235" spans="1:9" s="7" customFormat="1">
      <c r="A235" s="249" t="s">
        <v>88</v>
      </c>
      <c r="B235" s="184">
        <f>+CLBaitTime7</f>
        <v>0.11764705882352941</v>
      </c>
      <c r="C235" s="188">
        <f>+B235</f>
        <v>0.11764705882352941</v>
      </c>
      <c r="D235" s="187">
        <f>B235*LaborNoSkill</f>
        <v>1.0588235294117647</v>
      </c>
      <c r="E235" s="185">
        <v>3</v>
      </c>
      <c r="F235" s="187">
        <f>IF(E235&gt;0,VLOOKUP(E235,EquipCost,15)*C235,0)</f>
        <v>1.43</v>
      </c>
      <c r="G235" s="186"/>
      <c r="H235" s="186"/>
      <c r="I235" s="248">
        <f>SUM(F235:H235)+D235</f>
        <v>2.4888235294117647</v>
      </c>
    </row>
    <row r="236" spans="1:9" s="7" customFormat="1">
      <c r="A236" s="249" t="s">
        <v>98</v>
      </c>
      <c r="B236" s="184"/>
      <c r="C236" s="188">
        <f>+C235</f>
        <v>0.11764705882352941</v>
      </c>
      <c r="D236" s="187"/>
      <c r="E236" s="185">
        <v>6</v>
      </c>
      <c r="F236" s="187">
        <f>IF(E236&gt;0,VLOOKUP(E236,EquipCost,15)*C236,0)</f>
        <v>0.36885154061624653</v>
      </c>
      <c r="G236" s="186">
        <f>+CLBait7</f>
        <v>5.5</v>
      </c>
      <c r="H236" s="181"/>
      <c r="I236" s="248">
        <f>SUM(F236:H236)+D236</f>
        <v>5.8688515406162463</v>
      </c>
    </row>
    <row r="237" spans="1:9" s="7" customFormat="1">
      <c r="A237" s="249" t="s">
        <v>107</v>
      </c>
      <c r="B237" s="184">
        <v>2</v>
      </c>
      <c r="C237" s="188">
        <v>1</v>
      </c>
      <c r="D237" s="187">
        <f>B237*LaborNoSkill</f>
        <v>18</v>
      </c>
      <c r="E237" s="185">
        <v>1</v>
      </c>
      <c r="F237" s="187">
        <f>IF(E237&gt;0,VLOOKUP(E237,EquipCost,15)*C237,0)</f>
        <v>15.252000000000001</v>
      </c>
      <c r="G237" s="187">
        <f>+CLWild*CLTree</f>
        <v>10.083333333333334</v>
      </c>
      <c r="H237" s="181"/>
      <c r="I237" s="248">
        <f>SUM(F237:H237)+D237</f>
        <v>43.335333333333338</v>
      </c>
    </row>
    <row r="238" spans="1:9" s="7" customFormat="1">
      <c r="A238" s="247" t="s">
        <v>112</v>
      </c>
      <c r="B238" s="184"/>
      <c r="C238" s="188"/>
      <c r="D238" s="187"/>
      <c r="E238" s="185"/>
      <c r="F238" s="187"/>
      <c r="G238" s="183"/>
      <c r="H238" s="181"/>
      <c r="I238" s="248"/>
    </row>
    <row r="239" spans="1:9" s="7" customFormat="1">
      <c r="A239" s="253" t="s">
        <v>88</v>
      </c>
      <c r="B239" s="194">
        <f>+CLFertTime7</f>
        <v>0.1</v>
      </c>
      <c r="C239" s="195">
        <f>+B239</f>
        <v>0.1</v>
      </c>
      <c r="D239" s="187">
        <f>B239*LaborNoSkill</f>
        <v>0.9</v>
      </c>
      <c r="E239" s="196">
        <v>3</v>
      </c>
      <c r="F239" s="187">
        <f>IF(E239&gt;0,VLOOKUP(E239,EquipCost,15)*C239,0)</f>
        <v>1.2155</v>
      </c>
      <c r="G239" s="187">
        <f>+CLFert7</f>
        <v>14.557812500000001</v>
      </c>
      <c r="H239" s="197"/>
      <c r="I239" s="251">
        <f t="shared" ref="I239:I246" si="6">SUM(F239:H239)+D239</f>
        <v>16.673312500000002</v>
      </c>
    </row>
    <row r="240" spans="1:9" s="7" customFormat="1">
      <c r="A240" s="253" t="s">
        <v>98</v>
      </c>
      <c r="B240" s="194"/>
      <c r="C240" s="195">
        <f>+C239</f>
        <v>0.1</v>
      </c>
      <c r="D240" s="187"/>
      <c r="E240" s="196">
        <v>6</v>
      </c>
      <c r="F240" s="187">
        <f>IF(E240&gt;0,VLOOKUP(E240,EquipCost,15)*C240,0)</f>
        <v>0.31352380952380954</v>
      </c>
      <c r="G240" s="197"/>
      <c r="H240" s="197"/>
      <c r="I240" s="251">
        <f t="shared" si="6"/>
        <v>0.31352380952380954</v>
      </c>
    </row>
    <row r="241" spans="1:9" s="7" customFormat="1">
      <c r="A241" s="253" t="s">
        <v>114</v>
      </c>
      <c r="B241" s="184"/>
      <c r="C241" s="188"/>
      <c r="D241" s="187"/>
      <c r="E241" s="185"/>
      <c r="F241" s="187"/>
      <c r="G241" s="183">
        <f>+Lime</f>
        <v>35</v>
      </c>
      <c r="H241" s="186"/>
      <c r="I241" s="248">
        <f t="shared" si="6"/>
        <v>35</v>
      </c>
    </row>
    <row r="242" spans="1:9" s="7" customFormat="1">
      <c r="A242" s="246" t="s">
        <v>108</v>
      </c>
      <c r="B242" s="206"/>
      <c r="C242" s="206"/>
      <c r="D242" s="181"/>
      <c r="E242" s="207"/>
      <c r="F242" s="181"/>
      <c r="G242" s="181"/>
      <c r="H242" s="181">
        <v>15</v>
      </c>
      <c r="I242" s="251">
        <f t="shared" si="6"/>
        <v>15</v>
      </c>
    </row>
    <row r="243" spans="1:9" s="7" customFormat="1">
      <c r="A243" s="246" t="s">
        <v>109</v>
      </c>
      <c r="B243" s="206"/>
      <c r="C243" s="206"/>
      <c r="D243" s="181"/>
      <c r="E243" s="207"/>
      <c r="F243" s="181"/>
      <c r="G243" s="181"/>
      <c r="H243" s="181">
        <v>35</v>
      </c>
      <c r="I243" s="251">
        <f t="shared" si="6"/>
        <v>35</v>
      </c>
    </row>
    <row r="244" spans="1:9" s="7" customFormat="1">
      <c r="A244" s="249" t="s">
        <v>115</v>
      </c>
      <c r="B244" s="184">
        <v>0</v>
      </c>
      <c r="C244" s="184">
        <v>0</v>
      </c>
      <c r="D244" s="187">
        <f>B244*LaborNoSkill</f>
        <v>0</v>
      </c>
      <c r="E244" s="207">
        <v>17</v>
      </c>
      <c r="F244" s="187">
        <f>IF(E244&gt;0,VLOOKUP(E244,EquipCost,15)*C244,0)</f>
        <v>0</v>
      </c>
      <c r="G244" s="183"/>
      <c r="H244" s="181"/>
      <c r="I244" s="248">
        <f t="shared" si="6"/>
        <v>0</v>
      </c>
    </row>
    <row r="245" spans="1:9" s="7" customFormat="1">
      <c r="A245" s="249" t="s">
        <v>71</v>
      </c>
      <c r="B245" s="184"/>
      <c r="C245" s="184"/>
      <c r="D245" s="187">
        <f>B245*LaborNoSkill</f>
        <v>0</v>
      </c>
      <c r="E245" s="185"/>
      <c r="F245" s="187">
        <f>IF(E245&gt;0,VLOOKUP(E245,EquipCost,15)*C245,0)</f>
        <v>0</v>
      </c>
      <c r="G245" s="186"/>
      <c r="H245" s="183">
        <f>+RETax</f>
        <v>35</v>
      </c>
      <c r="I245" s="248">
        <f t="shared" si="6"/>
        <v>35</v>
      </c>
    </row>
    <row r="246" spans="1:9" s="7" customFormat="1">
      <c r="A246" s="260" t="s">
        <v>72</v>
      </c>
      <c r="B246" s="261"/>
      <c r="C246" s="261"/>
      <c r="D246" s="262">
        <f>B246*LaborNoSkill</f>
        <v>0</v>
      </c>
      <c r="E246" s="263"/>
      <c r="F246" s="262">
        <f>IF(E246&gt;0,VLOOKUP(E246,EquipCost,15)*C246,0)</f>
        <v>0</v>
      </c>
      <c r="G246" s="264"/>
      <c r="H246" s="265">
        <f>+other</f>
        <v>12.5</v>
      </c>
      <c r="I246" s="266">
        <f t="shared" si="6"/>
        <v>12.5</v>
      </c>
    </row>
    <row r="247" spans="1:9" s="7" customFormat="1">
      <c r="A247" s="267"/>
      <c r="B247" s="268"/>
      <c r="C247" s="268"/>
      <c r="D247" s="269"/>
      <c r="E247" s="270"/>
      <c r="F247" s="269"/>
      <c r="G247" s="269"/>
      <c r="H247" s="269"/>
      <c r="I247" s="271"/>
    </row>
    <row r="248" spans="1:9" s="7" customFormat="1">
      <c r="A248" s="255" t="s">
        <v>49</v>
      </c>
      <c r="B248" s="256">
        <f>SUM(B220:B247)</f>
        <v>41.756535947712415</v>
      </c>
      <c r="C248" s="256">
        <f>SUM(C220:C247)</f>
        <v>43.124183006535951</v>
      </c>
      <c r="D248" s="257">
        <f>SUM(D220:D247)</f>
        <v>414.20882352941175</v>
      </c>
      <c r="E248" s="293"/>
      <c r="F248" s="257">
        <f>SUM(F220:F247)</f>
        <v>330.15187931839404</v>
      </c>
      <c r="G248" s="257">
        <f>SUM(G220:G247)</f>
        <v>1125.3543712797616</v>
      </c>
      <c r="H248" s="257">
        <f>SUM(H220:H247)</f>
        <v>97.5</v>
      </c>
      <c r="I248" s="259">
        <f>SUM(I220:I247)</f>
        <v>1967.215074127568</v>
      </c>
    </row>
    <row r="249" spans="1:9" s="7" customFormat="1" ht="20.25">
      <c r="A249" s="1320" t="s">
        <v>639</v>
      </c>
      <c r="B249" s="1320"/>
      <c r="C249" s="1320"/>
      <c r="D249" s="1320"/>
      <c r="E249" s="1320"/>
      <c r="F249" s="1320"/>
      <c r="G249" s="1320"/>
      <c r="H249" s="1320"/>
      <c r="I249" s="1320"/>
    </row>
    <row r="250" spans="1:9" s="173" customFormat="1" ht="11.25">
      <c r="A250" s="174" t="s">
        <v>46</v>
      </c>
      <c r="B250" s="175" t="s">
        <v>632</v>
      </c>
      <c r="C250" s="175" t="s">
        <v>631</v>
      </c>
      <c r="D250" s="176" t="s">
        <v>626</v>
      </c>
      <c r="E250" s="177" t="s">
        <v>627</v>
      </c>
      <c r="F250" s="176" t="s">
        <v>628</v>
      </c>
      <c r="G250" s="176" t="s">
        <v>629</v>
      </c>
      <c r="H250" s="176" t="s">
        <v>630</v>
      </c>
      <c r="I250" s="176" t="s">
        <v>271</v>
      </c>
    </row>
    <row r="251" spans="1:9" s="9" customFormat="1">
      <c r="A251" s="795"/>
      <c r="B251" s="796"/>
      <c r="C251" s="796"/>
      <c r="D251" s="797"/>
      <c r="E251" s="798"/>
      <c r="F251" s="797"/>
      <c r="G251" s="797"/>
      <c r="H251" s="797"/>
      <c r="I251" s="799"/>
    </row>
    <row r="252" spans="1:9" s="7" customFormat="1">
      <c r="A252" s="800" t="s">
        <v>89</v>
      </c>
      <c r="B252" s="753">
        <f>+CLTrain8</f>
        <v>0</v>
      </c>
      <c r="C252" s="753">
        <v>2</v>
      </c>
      <c r="D252" s="754">
        <f>B252*LaborNoSkill</f>
        <v>0</v>
      </c>
      <c r="E252" s="755">
        <v>1</v>
      </c>
      <c r="F252" s="754">
        <f>IF(E252&gt;0,VLOOKUP(E252,EquipCost,15)*C252,0)</f>
        <v>30.504000000000001</v>
      </c>
      <c r="G252" s="801">
        <f>+CLTrainMat8</f>
        <v>0</v>
      </c>
      <c r="H252" s="801"/>
      <c r="I252" s="802">
        <f>SUM(F252:H252)+D252</f>
        <v>30.504000000000001</v>
      </c>
    </row>
    <row r="253" spans="1:9" s="7" customFormat="1">
      <c r="A253" s="800" t="s">
        <v>90</v>
      </c>
      <c r="B253" s="753">
        <f>+CLPrune8</f>
        <v>33.611111111111107</v>
      </c>
      <c r="C253" s="753">
        <f>+B253</f>
        <v>33.611111111111107</v>
      </c>
      <c r="D253" s="754">
        <f>B253*LaborNoSkill</f>
        <v>302.49999999999994</v>
      </c>
      <c r="E253" s="755">
        <v>18</v>
      </c>
      <c r="F253" s="754">
        <f>IF(E253&gt;0,VLOOKUP(E253,EquipCost,15)*C253,0)</f>
        <v>125.9072222222222</v>
      </c>
      <c r="G253" s="801"/>
      <c r="H253" s="801"/>
      <c r="I253" s="802">
        <f>SUM(F253:H253)+D253</f>
        <v>428.40722222222212</v>
      </c>
    </row>
    <row r="254" spans="1:9" s="7" customFormat="1">
      <c r="A254" s="803" t="s">
        <v>110</v>
      </c>
      <c r="B254" s="753">
        <f>0.75*2</f>
        <v>1.5</v>
      </c>
      <c r="C254" s="753">
        <f>+B254</f>
        <v>1.5</v>
      </c>
      <c r="D254" s="754">
        <f>B254*LaborSkill</f>
        <v>22.5</v>
      </c>
      <c r="E254" s="755">
        <v>3</v>
      </c>
      <c r="F254" s="804">
        <f>IF(E254&gt;0,VLOOKUP(E254,EquipCost,15)*C254,0)</f>
        <v>18.232499999999998</v>
      </c>
      <c r="G254" s="801"/>
      <c r="H254" s="801"/>
      <c r="I254" s="802">
        <f>SUM(F254:H254)+D254</f>
        <v>40.732500000000002</v>
      </c>
    </row>
    <row r="255" spans="1:9" s="7" customFormat="1">
      <c r="A255" s="803" t="s">
        <v>111</v>
      </c>
      <c r="B255" s="760">
        <v>0.5</v>
      </c>
      <c r="C255" s="753">
        <f>B255</f>
        <v>0.5</v>
      </c>
      <c r="D255" s="754">
        <f>B255*LaborNoSkill</f>
        <v>4.5</v>
      </c>
      <c r="E255" s="755">
        <v>1</v>
      </c>
      <c r="F255" s="754">
        <f>IF(E255&gt;0,VLOOKUP(E255,EquipCost,15)*C255,0)</f>
        <v>7.6260000000000003</v>
      </c>
      <c r="G255" s="805">
        <f>+CLTree*TreeCost*0.01</f>
        <v>15.125</v>
      </c>
      <c r="H255" s="801"/>
      <c r="I255" s="802">
        <f>SUM(F255:H255)+D255</f>
        <v>27.251000000000001</v>
      </c>
    </row>
    <row r="256" spans="1:9" s="7" customFormat="1">
      <c r="A256" s="806" t="s">
        <v>92</v>
      </c>
      <c r="B256" s="763"/>
      <c r="C256" s="764"/>
      <c r="D256" s="754"/>
      <c r="E256" s="765"/>
      <c r="F256" s="754"/>
      <c r="G256" s="807"/>
      <c r="H256" s="807"/>
      <c r="I256" s="808"/>
    </row>
    <row r="257" spans="1:9" s="7" customFormat="1">
      <c r="A257" s="809" t="s">
        <v>88</v>
      </c>
      <c r="B257" s="763">
        <f>+CLHerbTime</f>
        <v>0.8</v>
      </c>
      <c r="C257" s="764">
        <f>+B257</f>
        <v>0.8</v>
      </c>
      <c r="D257" s="754">
        <f>B257*LaborSkill</f>
        <v>12</v>
      </c>
      <c r="E257" s="765">
        <v>3</v>
      </c>
      <c r="F257" s="754">
        <f>IF(E257&gt;0,VLOOKUP(E257,EquipCost,15)*C257,0)</f>
        <v>9.7240000000000002</v>
      </c>
      <c r="G257" s="807"/>
      <c r="H257" s="807"/>
      <c r="I257" s="808">
        <f>SUM(F257:H257)+D257</f>
        <v>21.724</v>
      </c>
    </row>
    <row r="258" spans="1:9" s="7" customFormat="1">
      <c r="A258" s="810" t="s">
        <v>93</v>
      </c>
      <c r="B258" s="763"/>
      <c r="C258" s="764">
        <f>+C257</f>
        <v>0.8</v>
      </c>
      <c r="D258" s="754">
        <f>B258*LaborNoSkill</f>
        <v>0</v>
      </c>
      <c r="E258" s="765">
        <v>5</v>
      </c>
      <c r="F258" s="754">
        <f>IF(E258&gt;0,VLOOKUP(E258,EquipCost,15)*C258,0)</f>
        <v>3.5453333333333337</v>
      </c>
      <c r="G258" s="807"/>
      <c r="H258" s="807"/>
      <c r="I258" s="808">
        <f>SUM(F258:H258)+D258</f>
        <v>3.5453333333333337</v>
      </c>
    </row>
    <row r="259" spans="1:9" s="7" customFormat="1">
      <c r="A259" s="806" t="s">
        <v>94</v>
      </c>
      <c r="B259" s="763"/>
      <c r="C259" s="764"/>
      <c r="D259" s="754"/>
      <c r="E259" s="765"/>
      <c r="F259" s="754"/>
      <c r="G259" s="807"/>
      <c r="H259" s="807"/>
      <c r="I259" s="808"/>
    </row>
    <row r="260" spans="1:9" s="7" customFormat="1">
      <c r="A260" s="810" t="s">
        <v>95</v>
      </c>
      <c r="B260" s="763">
        <f>+CLSprayTIme</f>
        <v>3.6</v>
      </c>
      <c r="C260" s="764">
        <f>+B260</f>
        <v>3.6</v>
      </c>
      <c r="D260" s="754">
        <f>B260*LaborSkill</f>
        <v>54</v>
      </c>
      <c r="E260" s="765">
        <v>2</v>
      </c>
      <c r="F260" s="754">
        <f>IF(E260&gt;0,VLOOKUP(E260,EquipCost,15)*C260,0)</f>
        <v>85.356000000000009</v>
      </c>
      <c r="G260" s="807">
        <f>+TotSpCost</f>
        <v>1031.909579613095</v>
      </c>
      <c r="H260" s="807"/>
      <c r="I260" s="808">
        <f>SUM(F260:H260)+D260</f>
        <v>1171.265579613095</v>
      </c>
    </row>
    <row r="261" spans="1:9" s="7" customFormat="1">
      <c r="A261" s="810" t="s">
        <v>96</v>
      </c>
      <c r="B261" s="763"/>
      <c r="C261" s="764">
        <f>+C260</f>
        <v>3.6</v>
      </c>
      <c r="D261" s="754"/>
      <c r="E261" s="765">
        <v>4</v>
      </c>
      <c r="F261" s="754">
        <f>IF(E261&gt;0,VLOOKUP(E261,EquipCost,15)*C261,0)</f>
        <v>37.17</v>
      </c>
      <c r="G261" s="807"/>
      <c r="H261" s="807"/>
      <c r="I261" s="808">
        <f>SUM(F261:H261)+D261</f>
        <v>37.17</v>
      </c>
    </row>
    <row r="262" spans="1:9" s="7" customFormat="1">
      <c r="A262" s="806" t="s">
        <v>654</v>
      </c>
      <c r="B262" s="763">
        <v>1</v>
      </c>
      <c r="C262" s="764"/>
      <c r="D262" s="754">
        <f>B262*LaborNoSkill</f>
        <v>9</v>
      </c>
      <c r="E262" s="765"/>
      <c r="F262" s="754"/>
      <c r="G262" s="807"/>
      <c r="H262" s="807"/>
      <c r="I262" s="808">
        <f>SUM(F262:H262)+D262</f>
        <v>9</v>
      </c>
    </row>
    <row r="263" spans="1:9" s="7" customFormat="1">
      <c r="A263" s="800" t="s">
        <v>103</v>
      </c>
      <c r="B263" s="400"/>
      <c r="C263" s="400"/>
      <c r="D263" s="129"/>
      <c r="E263" s="399"/>
      <c r="F263" s="129"/>
      <c r="G263" s="129"/>
      <c r="H263" s="129"/>
      <c r="I263" s="404"/>
    </row>
    <row r="264" spans="1:9" s="7" customFormat="1">
      <c r="A264" s="803" t="s">
        <v>88</v>
      </c>
      <c r="B264" s="760">
        <f>+CLMowTime8</f>
        <v>0.75</v>
      </c>
      <c r="C264" s="753">
        <f>+B264</f>
        <v>0.75</v>
      </c>
      <c r="D264" s="754">
        <f>B264*LaborNoSkill</f>
        <v>6.75</v>
      </c>
      <c r="E264" s="755">
        <v>3</v>
      </c>
      <c r="F264" s="754">
        <f>IF(E264&gt;0,VLOOKUP(E264,EquipCost,15)*C264,0)</f>
        <v>9.1162499999999991</v>
      </c>
      <c r="G264" s="801"/>
      <c r="H264" s="801"/>
      <c r="I264" s="802">
        <f>SUM(F264:H264)+D264</f>
        <v>15.866249999999999</v>
      </c>
    </row>
    <row r="265" spans="1:9" s="7" customFormat="1">
      <c r="A265" s="811" t="s">
        <v>104</v>
      </c>
      <c r="B265" s="760"/>
      <c r="C265" s="753">
        <f>+C264</f>
        <v>0.75</v>
      </c>
      <c r="D265" s="754">
        <f>B265*LaborNoSkill</f>
        <v>0</v>
      </c>
      <c r="E265" s="755">
        <v>7</v>
      </c>
      <c r="F265" s="754">
        <f>IF(E265&gt;0,VLOOKUP(E265,EquipCost,15)*C265,0)</f>
        <v>3.4946428571428574</v>
      </c>
      <c r="G265" s="801"/>
      <c r="H265" s="801"/>
      <c r="I265" s="802">
        <f>SUM(F265:H265)+D265</f>
        <v>3.4946428571428574</v>
      </c>
    </row>
    <row r="266" spans="1:9" s="7" customFormat="1">
      <c r="A266" s="800" t="s">
        <v>105</v>
      </c>
      <c r="B266" s="760"/>
      <c r="C266" s="753"/>
      <c r="D266" s="754"/>
      <c r="E266" s="755"/>
      <c r="F266" s="754"/>
      <c r="G266" s="801"/>
      <c r="H266" s="801"/>
      <c r="I266" s="802"/>
    </row>
    <row r="267" spans="1:9" s="7" customFormat="1">
      <c r="A267" s="803" t="s">
        <v>88</v>
      </c>
      <c r="B267" s="760">
        <f>+CLBaitTIme8</f>
        <v>0.11764705882352941</v>
      </c>
      <c r="C267" s="753">
        <f>+B267</f>
        <v>0.11764705882352941</v>
      </c>
      <c r="D267" s="754">
        <f>B267*LaborNoSkill</f>
        <v>1.0588235294117647</v>
      </c>
      <c r="E267" s="755">
        <v>3</v>
      </c>
      <c r="F267" s="754">
        <f>IF(E267&gt;0,VLOOKUP(E267,EquipCost,15)*C267,0)</f>
        <v>1.43</v>
      </c>
      <c r="G267" s="801"/>
      <c r="H267" s="801"/>
      <c r="I267" s="802">
        <f>SUM(F267:H267)+D267</f>
        <v>2.4888235294117647</v>
      </c>
    </row>
    <row r="268" spans="1:9" s="7" customFormat="1">
      <c r="A268" s="803" t="s">
        <v>98</v>
      </c>
      <c r="B268" s="760"/>
      <c r="C268" s="753">
        <f>+C267</f>
        <v>0.11764705882352941</v>
      </c>
      <c r="D268" s="754">
        <f>B268*LaborNoSkill</f>
        <v>0</v>
      </c>
      <c r="E268" s="755">
        <v>6</v>
      </c>
      <c r="F268" s="754">
        <f>IF(E268&gt;0,VLOOKUP(E268,EquipCost,15)*C268,0)</f>
        <v>0.36885154061624653</v>
      </c>
      <c r="G268" s="801">
        <f>+CLBait8</f>
        <v>5.5</v>
      </c>
      <c r="H268" s="774"/>
      <c r="I268" s="802">
        <f>SUM(F268:H268)+D268</f>
        <v>5.8688515406162463</v>
      </c>
    </row>
    <row r="269" spans="1:9" s="7" customFormat="1">
      <c r="A269" s="803" t="s">
        <v>107</v>
      </c>
      <c r="B269" s="760">
        <v>2</v>
      </c>
      <c r="C269" s="753">
        <v>1</v>
      </c>
      <c r="D269" s="754">
        <f>B269*LaborNoSkill</f>
        <v>18</v>
      </c>
      <c r="E269" s="755">
        <v>1</v>
      </c>
      <c r="F269" s="754">
        <f>IF(E269&gt;0,VLOOKUP(E269,EquipCost,15)*C269,0)</f>
        <v>15.252000000000001</v>
      </c>
      <c r="G269" s="754">
        <f>+CLWild*CLTree</f>
        <v>10.083333333333334</v>
      </c>
      <c r="H269" s="774"/>
      <c r="I269" s="802">
        <f>SUM(F269:H269)+D269</f>
        <v>43.335333333333338</v>
      </c>
    </row>
    <row r="270" spans="1:9" s="7" customFormat="1">
      <c r="A270" s="800" t="s">
        <v>112</v>
      </c>
      <c r="B270" s="760"/>
      <c r="C270" s="753"/>
      <c r="D270" s="754"/>
      <c r="E270" s="755"/>
      <c r="F270" s="754"/>
      <c r="G270" s="805"/>
      <c r="H270" s="774"/>
      <c r="I270" s="802"/>
    </row>
    <row r="271" spans="1:9" s="7" customFormat="1">
      <c r="A271" s="810" t="s">
        <v>88</v>
      </c>
      <c r="B271" s="763">
        <f>+CLFertTime8</f>
        <v>0.1</v>
      </c>
      <c r="C271" s="764">
        <f>+B271</f>
        <v>0.1</v>
      </c>
      <c r="D271" s="754">
        <f>B271*LaborNoSkill</f>
        <v>0.9</v>
      </c>
      <c r="E271" s="765">
        <v>3</v>
      </c>
      <c r="F271" s="754">
        <f>IF(E271&gt;0,VLOOKUP(E271,EquipCost,15)*C271,0)</f>
        <v>1.2155</v>
      </c>
      <c r="G271" s="754">
        <f>+CLFert8</f>
        <v>16.889583333333334</v>
      </c>
      <c r="H271" s="807"/>
      <c r="I271" s="808">
        <f>SUM(F271:H271)+D271</f>
        <v>19.005083333333332</v>
      </c>
    </row>
    <row r="272" spans="1:9" s="7" customFormat="1">
      <c r="A272" s="810" t="s">
        <v>98</v>
      </c>
      <c r="B272" s="763"/>
      <c r="C272" s="764">
        <f>+C271</f>
        <v>0.1</v>
      </c>
      <c r="D272" s="754">
        <f>B272*LaborNoSkill</f>
        <v>0</v>
      </c>
      <c r="E272" s="765">
        <v>6</v>
      </c>
      <c r="F272" s="754">
        <f>IF(E272&gt;0,VLOOKUP(E272,EquipCost,15)*C272,0)</f>
        <v>0.31352380952380954</v>
      </c>
      <c r="G272" s="807"/>
      <c r="H272" s="807"/>
      <c r="I272" s="808">
        <f>SUM(F272:H272)+D272</f>
        <v>0.31352380952380954</v>
      </c>
    </row>
    <row r="273" spans="1:9" s="7" customFormat="1">
      <c r="A273" s="810" t="s">
        <v>114</v>
      </c>
      <c r="B273" s="760"/>
      <c r="C273" s="753"/>
      <c r="D273" s="754"/>
      <c r="E273" s="755"/>
      <c r="F273" s="754"/>
      <c r="G273" s="805">
        <f>+Lime</f>
        <v>35</v>
      </c>
      <c r="H273" s="801"/>
      <c r="I273" s="802">
        <f t="shared" ref="I273:I278" si="7">SUM(F273:H273)+D273</f>
        <v>35</v>
      </c>
    </row>
    <row r="274" spans="1:9" s="7" customFormat="1">
      <c r="A274" s="811" t="s">
        <v>108</v>
      </c>
      <c r="B274" s="773"/>
      <c r="C274" s="773"/>
      <c r="D274" s="774"/>
      <c r="E274" s="775"/>
      <c r="F274" s="774"/>
      <c r="G274" s="774"/>
      <c r="H274" s="774">
        <v>15</v>
      </c>
      <c r="I274" s="808">
        <f>SUM(F274:H274)+D274</f>
        <v>15</v>
      </c>
    </row>
    <row r="275" spans="1:9" s="7" customFormat="1">
      <c r="A275" s="811" t="s">
        <v>109</v>
      </c>
      <c r="B275" s="773"/>
      <c r="C275" s="773"/>
      <c r="D275" s="774"/>
      <c r="E275" s="775"/>
      <c r="F275" s="774"/>
      <c r="G275" s="774"/>
      <c r="H275" s="774">
        <v>25</v>
      </c>
      <c r="I275" s="808">
        <f>SUM(F275:H275)+D275</f>
        <v>25</v>
      </c>
    </row>
    <row r="276" spans="1:9" s="7" customFormat="1">
      <c r="A276" s="803" t="s">
        <v>115</v>
      </c>
      <c r="B276" s="760">
        <v>0</v>
      </c>
      <c r="C276" s="760">
        <v>0</v>
      </c>
      <c r="D276" s="754">
        <f>B276*LaborNoSkill</f>
        <v>0</v>
      </c>
      <c r="E276" s="775">
        <v>17</v>
      </c>
      <c r="F276" s="754">
        <f>IF(E276&gt;0,VLOOKUP(E276,EquipCost,15)*C276,0)</f>
        <v>0</v>
      </c>
      <c r="G276" s="805"/>
      <c r="H276" s="774"/>
      <c r="I276" s="802">
        <f t="shared" si="7"/>
        <v>0</v>
      </c>
    </row>
    <row r="277" spans="1:9" s="7" customFormat="1">
      <c r="A277" s="803" t="s">
        <v>71</v>
      </c>
      <c r="B277" s="760"/>
      <c r="C277" s="760"/>
      <c r="D277" s="754">
        <f>B277*LaborNoSkill</f>
        <v>0</v>
      </c>
      <c r="E277" s="755"/>
      <c r="F277" s="754">
        <f>IF(E277&gt;0,VLOOKUP(E277,EquipCost,15)*C277,0)</f>
        <v>0</v>
      </c>
      <c r="G277" s="801"/>
      <c r="H277" s="805">
        <f>+RETax</f>
        <v>35</v>
      </c>
      <c r="I277" s="802">
        <f t="shared" si="7"/>
        <v>35</v>
      </c>
    </row>
    <row r="278" spans="1:9" s="9" customFormat="1">
      <c r="A278" s="812" t="s">
        <v>72</v>
      </c>
      <c r="B278" s="777"/>
      <c r="C278" s="777"/>
      <c r="D278" s="778">
        <f>B278*LaborNoSkill</f>
        <v>0</v>
      </c>
      <c r="E278" s="779"/>
      <c r="F278" s="778">
        <f>IF(E278&gt;0,VLOOKUP(E278,EquipCost,15)*C278,0)</f>
        <v>0</v>
      </c>
      <c r="G278" s="813"/>
      <c r="H278" s="814">
        <f>+other</f>
        <v>12.5</v>
      </c>
      <c r="I278" s="815">
        <f t="shared" si="7"/>
        <v>12.5</v>
      </c>
    </row>
    <row r="279" spans="1:9" s="9" customFormat="1">
      <c r="A279" s="816"/>
      <c r="B279" s="785"/>
      <c r="C279" s="785"/>
      <c r="D279" s="786"/>
      <c r="E279" s="787"/>
      <c r="F279" s="786"/>
      <c r="G279" s="786"/>
      <c r="H279" s="786"/>
      <c r="I279" s="817"/>
    </row>
    <row r="280" spans="1:9" s="7" customFormat="1">
      <c r="A280" s="818" t="s">
        <v>49</v>
      </c>
      <c r="B280" s="819">
        <f>SUM(B251:B279)</f>
        <v>43.978758169934636</v>
      </c>
      <c r="C280" s="819">
        <f>SUM(C251:C279)</f>
        <v>49.346405228758165</v>
      </c>
      <c r="D280" s="820">
        <f>SUM(D251:D279)</f>
        <v>431.20882352941169</v>
      </c>
      <c r="E280" s="821"/>
      <c r="F280" s="820">
        <f>SUM(F251:F279)</f>
        <v>349.25582376283847</v>
      </c>
      <c r="G280" s="820">
        <f>SUM(G251:G279)</f>
        <v>1114.5074962797617</v>
      </c>
      <c r="H280" s="820">
        <f>SUM(H251:H279)</f>
        <v>87.5</v>
      </c>
      <c r="I280" s="822">
        <f>SUM(I251:I279)</f>
        <v>1982.4721435720123</v>
      </c>
    </row>
    <row r="281" spans="1:9" s="7" customFormat="1" ht="20.25">
      <c r="A281" s="1345" t="s">
        <v>19</v>
      </c>
      <c r="B281" s="1346"/>
      <c r="C281" s="1346"/>
      <c r="D281" s="1346"/>
      <c r="E281" s="1346"/>
      <c r="F281" s="1346"/>
      <c r="G281" s="1346"/>
      <c r="H281" s="1346"/>
      <c r="I281" s="1347"/>
    </row>
    <row r="282" spans="1:9" s="19" customFormat="1" ht="11.25">
      <c r="A282" s="239"/>
      <c r="B282" s="240"/>
      <c r="C282" s="240"/>
      <c r="D282" s="241"/>
      <c r="E282" s="242"/>
      <c r="F282" s="241"/>
      <c r="G282" s="241"/>
      <c r="H282" s="241"/>
      <c r="I282" s="233" t="s">
        <v>633</v>
      </c>
    </row>
    <row r="283" spans="1:9" s="7" customFormat="1" ht="20.25">
      <c r="A283" s="234" t="s">
        <v>65</v>
      </c>
      <c r="B283" s="235"/>
      <c r="C283" s="235"/>
      <c r="D283" s="236"/>
      <c r="E283" s="237"/>
      <c r="F283" s="236"/>
      <c r="G283" s="236"/>
      <c r="H283" s="236"/>
      <c r="I283" s="238">
        <f>+Year0</f>
        <v>794</v>
      </c>
    </row>
    <row r="284" spans="1:9" s="7" customFormat="1" ht="20.25">
      <c r="A284" s="221" t="str">
        <f>+A17</f>
        <v>Year 1, Planting Year.</v>
      </c>
      <c r="B284" s="203"/>
      <c r="C284" s="203"/>
      <c r="D284" s="208"/>
      <c r="E284" s="209"/>
      <c r="F284" s="208"/>
      <c r="G284" s="208"/>
      <c r="H284" s="208"/>
      <c r="I284" s="220">
        <f>+CLYear1</f>
        <v>2265.7378677080887</v>
      </c>
    </row>
    <row r="285" spans="1:9" s="7" customFormat="1" ht="20.25">
      <c r="A285" s="221" t="str">
        <f>+A64</f>
        <v>Year 2, Non-bearing Year</v>
      </c>
      <c r="B285" s="203"/>
      <c r="C285" s="203"/>
      <c r="D285" s="208"/>
      <c r="E285" s="209"/>
      <c r="F285" s="208"/>
      <c r="G285" s="208"/>
      <c r="H285" s="208"/>
      <c r="I285" s="220">
        <f>+CLYear2</f>
        <v>464.14481358216892</v>
      </c>
    </row>
    <row r="286" spans="1:9" s="7" customFormat="1" ht="20.25">
      <c r="A286" s="221" t="str">
        <f>+A94</f>
        <v>Year 3, Non-bearing Year</v>
      </c>
      <c r="B286" s="203"/>
      <c r="C286" s="203"/>
      <c r="D286" s="208"/>
      <c r="E286" s="209"/>
      <c r="F286" s="208"/>
      <c r="G286" s="208"/>
      <c r="H286" s="208"/>
      <c r="I286" s="220">
        <f>+CLYear3</f>
        <v>846.5961274013772</v>
      </c>
    </row>
    <row r="287" spans="1:9" s="7" customFormat="1" ht="20.25">
      <c r="A287" s="221" t="str">
        <f>+A125</f>
        <v>Year 4, Early Cropping Year</v>
      </c>
      <c r="B287" s="203"/>
      <c r="C287" s="203"/>
      <c r="D287" s="208"/>
      <c r="E287" s="209"/>
      <c r="F287" s="208"/>
      <c r="G287" s="208"/>
      <c r="H287" s="208"/>
      <c r="I287" s="220">
        <f>+CLYear4</f>
        <v>1124.5436599906629</v>
      </c>
    </row>
    <row r="288" spans="1:9" s="7" customFormat="1" ht="20.25">
      <c r="A288" s="221" t="str">
        <f>+A156</f>
        <v>Year 5, Early Cropping Year</v>
      </c>
      <c r="B288" s="203"/>
      <c r="C288" s="203"/>
      <c r="D288" s="208"/>
      <c r="E288" s="209"/>
      <c r="F288" s="208"/>
      <c r="G288" s="208"/>
      <c r="H288" s="208"/>
      <c r="I288" s="220">
        <f>+CLYear5</f>
        <v>1665.2196210025679</v>
      </c>
    </row>
    <row r="289" spans="1:9" s="7" customFormat="1" ht="20.25">
      <c r="A289" s="221" t="str">
        <f>+A187</f>
        <v>Year 6, Early Cropping Year</v>
      </c>
      <c r="B289" s="203"/>
      <c r="C289" s="203"/>
      <c r="D289" s="208"/>
      <c r="E289" s="209"/>
      <c r="F289" s="208"/>
      <c r="G289" s="208"/>
      <c r="H289" s="208"/>
      <c r="I289" s="220">
        <f>+CLYear6</f>
        <v>1770.104997738679</v>
      </c>
    </row>
    <row r="290" spans="1:9" s="7" customFormat="1" ht="20.25">
      <c r="A290" s="221" t="str">
        <f>+A218</f>
        <v>Year 7, Early Cropping Year</v>
      </c>
      <c r="B290" s="203"/>
      <c r="C290" s="203"/>
      <c r="D290" s="208"/>
      <c r="E290" s="209"/>
      <c r="F290" s="208"/>
      <c r="G290" s="208"/>
      <c r="H290" s="208"/>
      <c r="I290" s="220">
        <f>+CLYear7</f>
        <v>1967.215074127568</v>
      </c>
    </row>
    <row r="291" spans="1:9" s="7" customFormat="1" ht="20.25">
      <c r="A291" s="222" t="str">
        <f>+A249</f>
        <v>Year 8, Full Bearing Year</v>
      </c>
      <c r="B291" s="223"/>
      <c r="C291" s="223"/>
      <c r="D291" s="224"/>
      <c r="E291" s="225"/>
      <c r="F291" s="224"/>
      <c r="G291" s="224"/>
      <c r="H291" s="224"/>
      <c r="I291" s="226">
        <f>+CLYear8</f>
        <v>1982.4721435720123</v>
      </c>
    </row>
    <row r="292" spans="1:9" s="7" customFormat="1">
      <c r="B292" s="29"/>
      <c r="C292" s="29"/>
      <c r="D292" s="13"/>
      <c r="E292" s="12"/>
      <c r="F292" s="13"/>
      <c r="G292" s="13"/>
      <c r="H292" s="13"/>
      <c r="I292" s="13"/>
    </row>
    <row r="293" spans="1:9" s="7" customFormat="1">
      <c r="B293" s="29"/>
      <c r="C293" s="29"/>
      <c r="D293" s="13"/>
      <c r="E293" s="12"/>
      <c r="F293" s="13"/>
      <c r="G293" s="13"/>
      <c r="H293" s="13"/>
      <c r="I293" s="13"/>
    </row>
    <row r="294" spans="1:9" s="7" customFormat="1">
      <c r="B294" s="29"/>
      <c r="C294" s="29"/>
      <c r="D294" s="13"/>
      <c r="E294" s="12"/>
      <c r="F294" s="13"/>
      <c r="G294" s="13"/>
      <c r="H294" s="13"/>
      <c r="I294" s="13"/>
    </row>
    <row r="295" spans="1:9" s="7" customFormat="1">
      <c r="B295" s="29"/>
      <c r="C295" s="29"/>
      <c r="D295" s="13"/>
      <c r="E295" s="12"/>
      <c r="F295" s="13"/>
      <c r="G295" s="13"/>
      <c r="H295" s="13"/>
      <c r="I295" s="13"/>
    </row>
    <row r="296" spans="1:9" s="7" customFormat="1">
      <c r="B296" s="29"/>
      <c r="C296" s="29"/>
      <c r="D296" s="13"/>
      <c r="E296" s="12"/>
      <c r="F296" s="13"/>
      <c r="G296" s="13"/>
      <c r="H296" s="13"/>
      <c r="I296" s="13"/>
    </row>
    <row r="297" spans="1:9" s="7" customFormat="1">
      <c r="B297" s="29"/>
      <c r="C297" s="29"/>
      <c r="D297" s="13"/>
      <c r="E297" s="12"/>
      <c r="F297" s="13"/>
      <c r="G297" s="13"/>
      <c r="H297" s="13"/>
      <c r="I297" s="13"/>
    </row>
    <row r="298" spans="1:9" s="7" customFormat="1">
      <c r="B298" s="29"/>
      <c r="C298" s="29"/>
      <c r="D298" s="13"/>
      <c r="E298" s="12"/>
      <c r="F298" s="13"/>
      <c r="G298" s="13"/>
      <c r="H298" s="13"/>
      <c r="I298" s="13"/>
    </row>
    <row r="299" spans="1:9" s="7" customFormat="1">
      <c r="B299" s="29"/>
      <c r="C299" s="29"/>
      <c r="D299" s="13"/>
      <c r="E299" s="12"/>
      <c r="F299" s="13"/>
      <c r="G299" s="13"/>
      <c r="H299" s="13"/>
      <c r="I299" s="13"/>
    </row>
    <row r="300" spans="1:9" s="7" customFormat="1">
      <c r="B300" s="29"/>
      <c r="C300" s="29"/>
      <c r="D300" s="13"/>
      <c r="E300" s="12"/>
      <c r="F300" s="13"/>
      <c r="G300" s="13"/>
      <c r="H300" s="13"/>
      <c r="I300" s="13"/>
    </row>
    <row r="301" spans="1:9" s="7" customFormat="1">
      <c r="B301" s="29"/>
      <c r="C301" s="29"/>
      <c r="D301" s="13"/>
      <c r="E301" s="12"/>
      <c r="F301" s="13"/>
      <c r="G301" s="13"/>
      <c r="H301" s="13"/>
      <c r="I301" s="13"/>
    </row>
    <row r="302" spans="1:9" s="7" customFormat="1">
      <c r="B302" s="29"/>
      <c r="C302" s="29"/>
      <c r="D302" s="13"/>
      <c r="E302" s="12"/>
      <c r="F302" s="13"/>
      <c r="G302" s="13"/>
      <c r="H302" s="13"/>
      <c r="I302" s="13"/>
    </row>
    <row r="303" spans="1:9" s="7" customFormat="1">
      <c r="B303" s="29"/>
      <c r="C303" s="29"/>
      <c r="D303" s="13"/>
      <c r="E303" s="12"/>
      <c r="F303" s="13"/>
      <c r="G303" s="13"/>
      <c r="H303" s="13"/>
      <c r="I303" s="13"/>
    </row>
    <row r="304" spans="1:9" s="7" customFormat="1">
      <c r="B304" s="29"/>
      <c r="C304" s="29"/>
      <c r="D304" s="13"/>
      <c r="E304" s="12"/>
      <c r="F304" s="13"/>
      <c r="G304" s="13"/>
      <c r="H304" s="13"/>
      <c r="I304" s="13"/>
    </row>
    <row r="305" spans="2:9" s="7" customFormat="1">
      <c r="B305" s="29"/>
      <c r="C305" s="29"/>
      <c r="D305" s="13"/>
      <c r="E305" s="12"/>
      <c r="F305" s="13"/>
      <c r="G305" s="13"/>
      <c r="H305" s="13"/>
      <c r="I305" s="13"/>
    </row>
    <row r="306" spans="2:9" s="7" customFormat="1">
      <c r="B306" s="29"/>
      <c r="C306" s="29"/>
      <c r="D306" s="13"/>
      <c r="E306" s="12"/>
      <c r="F306" s="13"/>
      <c r="G306" s="13"/>
      <c r="H306" s="13"/>
      <c r="I306" s="13"/>
    </row>
    <row r="307" spans="2:9" s="7" customFormat="1">
      <c r="B307" s="29"/>
      <c r="C307" s="29"/>
      <c r="D307" s="13"/>
      <c r="E307" s="12"/>
      <c r="F307" s="13"/>
      <c r="G307" s="13"/>
      <c r="H307" s="13"/>
      <c r="I307" s="13"/>
    </row>
    <row r="308" spans="2:9" s="7" customFormat="1">
      <c r="B308" s="29"/>
      <c r="C308" s="29"/>
      <c r="D308" s="13"/>
      <c r="E308" s="12"/>
      <c r="F308" s="13"/>
      <c r="G308" s="13"/>
      <c r="H308" s="13"/>
      <c r="I308" s="13"/>
    </row>
    <row r="309" spans="2:9" s="7" customFormat="1">
      <c r="B309" s="29"/>
      <c r="C309" s="29"/>
      <c r="D309" s="13"/>
      <c r="E309" s="12"/>
      <c r="F309" s="13"/>
      <c r="G309" s="13"/>
      <c r="H309" s="13"/>
      <c r="I309" s="13"/>
    </row>
    <row r="310" spans="2:9" s="7" customFormat="1">
      <c r="B310" s="29"/>
      <c r="C310" s="29"/>
      <c r="D310" s="13"/>
      <c r="E310" s="12"/>
      <c r="F310" s="13"/>
      <c r="G310" s="13"/>
      <c r="H310" s="13"/>
      <c r="I310" s="13"/>
    </row>
    <row r="311" spans="2:9" s="7" customFormat="1">
      <c r="B311" s="29"/>
      <c r="C311" s="29"/>
      <c r="D311" s="13"/>
      <c r="E311" s="12"/>
      <c r="F311" s="13"/>
      <c r="G311" s="13"/>
      <c r="H311" s="13"/>
      <c r="I311" s="13"/>
    </row>
    <row r="312" spans="2:9" s="7" customFormat="1">
      <c r="B312" s="29"/>
      <c r="C312" s="29"/>
      <c r="D312" s="13"/>
      <c r="E312" s="12"/>
      <c r="F312" s="13"/>
      <c r="G312" s="13"/>
      <c r="H312" s="13"/>
      <c r="I312" s="13"/>
    </row>
    <row r="313" spans="2:9" s="7" customFormat="1">
      <c r="B313" s="29"/>
      <c r="C313" s="29"/>
      <c r="D313" s="13"/>
      <c r="E313" s="12"/>
      <c r="F313" s="13"/>
      <c r="G313" s="13"/>
      <c r="H313" s="13"/>
      <c r="I313" s="13"/>
    </row>
    <row r="314" spans="2:9" s="7" customFormat="1">
      <c r="B314" s="29"/>
      <c r="C314" s="29"/>
      <c r="D314" s="13"/>
      <c r="E314" s="12"/>
      <c r="F314" s="13"/>
      <c r="G314" s="13"/>
      <c r="H314" s="13"/>
      <c r="I314" s="13"/>
    </row>
    <row r="315" spans="2:9" s="7" customFormat="1">
      <c r="B315" s="29"/>
      <c r="C315" s="29"/>
      <c r="D315" s="13"/>
      <c r="E315" s="12"/>
      <c r="F315" s="13"/>
      <c r="G315" s="13"/>
      <c r="H315" s="13"/>
      <c r="I315" s="13"/>
    </row>
    <row r="316" spans="2:9" s="7" customFormat="1">
      <c r="B316" s="29"/>
      <c r="C316" s="29"/>
      <c r="D316" s="13"/>
      <c r="E316" s="12"/>
      <c r="F316" s="13"/>
      <c r="G316" s="13"/>
      <c r="H316" s="13"/>
      <c r="I316" s="13"/>
    </row>
    <row r="317" spans="2:9" s="7" customFormat="1">
      <c r="B317" s="29"/>
      <c r="C317" s="29"/>
      <c r="D317" s="13"/>
      <c r="E317" s="12"/>
      <c r="F317" s="13"/>
      <c r="G317" s="13"/>
      <c r="H317" s="13"/>
      <c r="I317" s="13"/>
    </row>
    <row r="318" spans="2:9" s="7" customFormat="1">
      <c r="B318" s="29"/>
      <c r="C318" s="29"/>
      <c r="D318" s="13"/>
      <c r="E318" s="12"/>
      <c r="F318" s="13"/>
      <c r="G318" s="13"/>
      <c r="H318" s="13"/>
      <c r="I318" s="13"/>
    </row>
    <row r="319" spans="2:9" s="7" customFormat="1">
      <c r="B319" s="29"/>
      <c r="C319" s="29"/>
      <c r="D319" s="13"/>
      <c r="E319" s="12"/>
      <c r="F319" s="13"/>
      <c r="G319" s="13"/>
      <c r="H319" s="13"/>
      <c r="I319" s="13"/>
    </row>
    <row r="320" spans="2:9" s="7" customFormat="1">
      <c r="B320" s="29"/>
      <c r="C320" s="29"/>
      <c r="D320" s="13"/>
      <c r="E320" s="12"/>
      <c r="F320" s="13"/>
      <c r="G320" s="13"/>
      <c r="H320" s="13"/>
      <c r="I320" s="13"/>
    </row>
    <row r="321" spans="2:9" s="7" customFormat="1">
      <c r="B321" s="29"/>
      <c r="C321" s="29"/>
      <c r="D321" s="13"/>
      <c r="E321" s="12"/>
      <c r="F321" s="13"/>
      <c r="G321" s="13"/>
      <c r="H321" s="13"/>
      <c r="I321" s="13"/>
    </row>
    <row r="322" spans="2:9" s="7" customFormat="1">
      <c r="B322" s="29"/>
      <c r="C322" s="29"/>
      <c r="D322" s="13"/>
      <c r="E322" s="12"/>
      <c r="F322" s="13"/>
      <c r="G322" s="13"/>
      <c r="H322" s="13"/>
      <c r="I322" s="13"/>
    </row>
    <row r="323" spans="2:9" s="7" customFormat="1">
      <c r="B323" s="29"/>
      <c r="C323" s="29"/>
      <c r="D323" s="13"/>
      <c r="E323" s="12"/>
      <c r="F323" s="13"/>
      <c r="G323" s="13"/>
      <c r="H323" s="13"/>
      <c r="I323" s="13"/>
    </row>
    <row r="324" spans="2:9" s="7" customFormat="1">
      <c r="B324" s="29"/>
      <c r="C324" s="29"/>
      <c r="D324" s="13"/>
      <c r="E324" s="12"/>
      <c r="F324" s="13"/>
      <c r="G324" s="13"/>
      <c r="H324" s="13"/>
      <c r="I324" s="13"/>
    </row>
    <row r="325" spans="2:9" s="7" customFormat="1">
      <c r="B325" s="29"/>
      <c r="C325" s="29"/>
      <c r="D325" s="13"/>
      <c r="E325" s="12"/>
      <c r="F325" s="13"/>
      <c r="G325" s="13"/>
      <c r="H325" s="13"/>
      <c r="I325" s="13"/>
    </row>
  </sheetData>
  <mergeCells count="10">
    <mergeCell ref="A187:I187"/>
    <mergeCell ref="A281:I281"/>
    <mergeCell ref="A249:I249"/>
    <mergeCell ref="A218:I218"/>
    <mergeCell ref="A1:I1"/>
    <mergeCell ref="A17:I17"/>
    <mergeCell ref="A64:I64"/>
    <mergeCell ref="A94:I94"/>
    <mergeCell ref="A125:I125"/>
    <mergeCell ref="A156:I156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8" manualBreakCount="8">
    <brk id="16" max="16383" man="1"/>
    <brk id="63" max="16383" man="1"/>
    <brk id="93" max="16383" man="1"/>
    <brk id="124" max="16383" man="1"/>
    <brk id="155" max="16383" man="1"/>
    <brk id="186" max="16383" man="1"/>
    <brk id="217" max="16383" man="1"/>
    <brk id="24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7"/>
  <sheetViews>
    <sheetView workbookViewId="0">
      <selection activeCell="H15" sqref="H15"/>
    </sheetView>
  </sheetViews>
  <sheetFormatPr defaultRowHeight="12.75"/>
  <cols>
    <col min="1" max="1" width="16" style="463" customWidth="1"/>
    <col min="2" max="3" width="10.140625" style="903" customWidth="1"/>
    <col min="4" max="4" width="10.140625" style="904" customWidth="1"/>
    <col min="5" max="5" width="10.140625" style="905" customWidth="1"/>
    <col min="6" max="9" width="10.140625" style="904" customWidth="1"/>
    <col min="10" max="16384" width="9.140625" style="463"/>
  </cols>
  <sheetData>
    <row r="1" spans="1:9" ht="20.25">
      <c r="A1" s="1348" t="s">
        <v>646</v>
      </c>
      <c r="B1" s="1348"/>
      <c r="C1" s="1348"/>
      <c r="D1" s="1348"/>
      <c r="E1" s="1348"/>
      <c r="F1" s="1348"/>
      <c r="G1" s="1348"/>
      <c r="H1" s="1348"/>
      <c r="I1" s="1348"/>
    </row>
    <row r="2" spans="1:9" s="827" customFormat="1" ht="11.25">
      <c r="A2" s="823" t="s">
        <v>46</v>
      </c>
      <c r="B2" s="824" t="s">
        <v>632</v>
      </c>
      <c r="C2" s="824" t="s">
        <v>631</v>
      </c>
      <c r="D2" s="825" t="s">
        <v>626</v>
      </c>
      <c r="E2" s="826" t="s">
        <v>627</v>
      </c>
      <c r="F2" s="825" t="s">
        <v>628</v>
      </c>
      <c r="G2" s="825" t="s">
        <v>629</v>
      </c>
      <c r="H2" s="825" t="s">
        <v>630</v>
      </c>
      <c r="I2" s="825" t="s">
        <v>271</v>
      </c>
    </row>
    <row r="3" spans="1:9" s="10" customFormat="1" ht="11.25">
      <c r="A3" s="747"/>
      <c r="B3" s="828"/>
      <c r="C3" s="828"/>
      <c r="D3" s="829"/>
      <c r="E3" s="830"/>
      <c r="F3" s="829"/>
      <c r="G3" s="829"/>
      <c r="H3" s="829"/>
      <c r="I3" s="751"/>
    </row>
    <row r="4" spans="1:9" s="10" customFormat="1" ht="11.25">
      <c r="A4" s="771" t="s">
        <v>68</v>
      </c>
      <c r="B4" s="831"/>
      <c r="C4" s="831"/>
      <c r="D4" s="832"/>
      <c r="E4" s="833"/>
      <c r="F4" s="832"/>
      <c r="G4" s="832"/>
      <c r="H4" s="834">
        <f>+PrepYear!H4</f>
        <v>400</v>
      </c>
      <c r="I4" s="758">
        <f>SUM(F4:H4)+D4</f>
        <v>400</v>
      </c>
    </row>
    <row r="5" spans="1:9" s="10" customFormat="1" ht="11.25">
      <c r="A5" s="759" t="s">
        <v>69</v>
      </c>
      <c r="B5" s="835"/>
      <c r="C5" s="835">
        <f>+PrepYear!C5</f>
        <v>3.2</v>
      </c>
      <c r="D5" s="772"/>
      <c r="E5" s="836"/>
      <c r="F5" s="761">
        <f>+PrepYear!F5</f>
        <v>224</v>
      </c>
      <c r="G5" s="757"/>
      <c r="H5" s="757"/>
      <c r="I5" s="758">
        <f>SUM(F5:H5)+D5</f>
        <v>224</v>
      </c>
    </row>
    <row r="6" spans="1:9" s="10" customFormat="1" ht="11.25">
      <c r="A6" s="759" t="s">
        <v>70</v>
      </c>
      <c r="B6" s="835"/>
      <c r="C6" s="835"/>
      <c r="D6" s="772"/>
      <c r="E6" s="836"/>
      <c r="F6" s="761"/>
      <c r="G6" s="757">
        <f>+PrepYear!G6</f>
        <v>105</v>
      </c>
      <c r="H6" s="757"/>
      <c r="I6" s="758">
        <f>SUM(F6:H6)+D6</f>
        <v>105</v>
      </c>
    </row>
    <row r="7" spans="1:9" s="10" customFormat="1" ht="11.25">
      <c r="A7" s="759" t="s">
        <v>71</v>
      </c>
      <c r="B7" s="835"/>
      <c r="C7" s="835"/>
      <c r="D7" s="761"/>
      <c r="E7" s="836"/>
      <c r="F7" s="761"/>
      <c r="G7" s="757"/>
      <c r="H7" s="761">
        <f>+PrepYear!H7</f>
        <v>35</v>
      </c>
      <c r="I7" s="758">
        <f>SUM(F7:H7)+D7</f>
        <v>35</v>
      </c>
    </row>
    <row r="8" spans="1:9" s="10" customFormat="1" ht="11.25">
      <c r="A8" s="759" t="s">
        <v>72</v>
      </c>
      <c r="B8" s="835">
        <f>+PrepYear!B8</f>
        <v>1</v>
      </c>
      <c r="C8" s="835"/>
      <c r="D8" s="756">
        <f>+PrepYear!D8</f>
        <v>15</v>
      </c>
      <c r="E8" s="836"/>
      <c r="F8" s="761"/>
      <c r="G8" s="757"/>
      <c r="H8" s="761">
        <f>+PrepYear!H8</f>
        <v>15</v>
      </c>
      <c r="I8" s="758">
        <f>SUM(F8:H8)+D8</f>
        <v>30</v>
      </c>
    </row>
    <row r="9" spans="1:9" s="842" customFormat="1" ht="11.25">
      <c r="A9" s="837"/>
      <c r="B9" s="838"/>
      <c r="C9" s="838"/>
      <c r="D9" s="839"/>
      <c r="E9" s="840"/>
      <c r="F9" s="839"/>
      <c r="G9" s="839"/>
      <c r="H9" s="839"/>
      <c r="I9" s="841"/>
    </row>
    <row r="10" spans="1:9" s="10" customFormat="1" ht="11.25">
      <c r="A10" s="784"/>
      <c r="B10" s="843"/>
      <c r="C10" s="843"/>
      <c r="D10" s="788"/>
      <c r="E10" s="844"/>
      <c r="F10" s="788"/>
      <c r="G10" s="788"/>
      <c r="H10" s="788"/>
      <c r="I10" s="789"/>
    </row>
    <row r="11" spans="1:9" s="10" customFormat="1" ht="11.25">
      <c r="A11" s="790" t="s">
        <v>49</v>
      </c>
      <c r="B11" s="791">
        <f>SUM(B3:B9)</f>
        <v>1</v>
      </c>
      <c r="C11" s="791">
        <f>SUM(C3:C9)</f>
        <v>3.2</v>
      </c>
      <c r="D11" s="792">
        <f>SUM(D3:D9)</f>
        <v>15</v>
      </c>
      <c r="E11" s="845"/>
      <c r="F11" s="792">
        <f>SUM(F3:F9)</f>
        <v>224</v>
      </c>
      <c r="G11" s="792">
        <f>SUM(G3:G9)</f>
        <v>105</v>
      </c>
      <c r="H11" s="792">
        <f>SUM(H3:H9)</f>
        <v>450</v>
      </c>
      <c r="I11" s="794">
        <f>SUM(I3:I9)</f>
        <v>794</v>
      </c>
    </row>
    <row r="12" spans="1:9" s="10" customFormat="1" ht="11.25">
      <c r="A12" s="769" t="s">
        <v>119</v>
      </c>
      <c r="B12" s="846"/>
      <c r="C12" s="846"/>
      <c r="D12" s="761"/>
      <c r="E12" s="847"/>
      <c r="F12" s="761"/>
      <c r="G12" s="761"/>
      <c r="H12" s="761"/>
      <c r="I12" s="758"/>
    </row>
    <row r="13" spans="1:9" s="10" customFormat="1" ht="11.25">
      <c r="A13" s="769" t="s">
        <v>120</v>
      </c>
      <c r="B13" s="846"/>
      <c r="C13" s="846"/>
      <c r="D13" s="761"/>
      <c r="E13" s="847"/>
      <c r="F13" s="761"/>
      <c r="G13" s="761"/>
      <c r="H13" s="761"/>
      <c r="I13" s="758"/>
    </row>
    <row r="14" spans="1:9" s="10" customFormat="1" ht="11.25">
      <c r="A14" s="769" t="s">
        <v>121</v>
      </c>
      <c r="B14" s="846"/>
      <c r="C14" s="846"/>
      <c r="D14" s="761"/>
      <c r="E14" s="847"/>
      <c r="F14" s="761"/>
      <c r="G14" s="761"/>
      <c r="H14" s="761"/>
      <c r="I14" s="758"/>
    </row>
    <row r="15" spans="1:9" s="10" customFormat="1" ht="11.25">
      <c r="A15" s="769"/>
      <c r="B15" s="846"/>
      <c r="C15" s="846"/>
      <c r="D15" s="761"/>
      <c r="E15" s="847"/>
      <c r="F15" s="761"/>
      <c r="G15" s="761"/>
      <c r="H15" s="761"/>
      <c r="I15" s="758"/>
    </row>
    <row r="16" spans="1:9" s="10" customFormat="1" ht="11.25">
      <c r="A16" s="848"/>
      <c r="B16" s="849"/>
      <c r="C16" s="849"/>
      <c r="D16" s="850"/>
      <c r="E16" s="793"/>
      <c r="F16" s="850"/>
      <c r="G16" s="850"/>
      <c r="H16" s="850"/>
      <c r="I16" s="851"/>
    </row>
    <row r="17" spans="1:9" ht="20.25">
      <c r="A17" s="1348" t="s">
        <v>76</v>
      </c>
      <c r="B17" s="1348"/>
      <c r="C17" s="1348"/>
      <c r="D17" s="1348"/>
      <c r="E17" s="1348"/>
      <c r="F17" s="1348"/>
      <c r="G17" s="1348"/>
      <c r="H17" s="1348"/>
      <c r="I17" s="1348"/>
    </row>
    <row r="18" spans="1:9" s="827" customFormat="1" ht="11.25">
      <c r="A18" s="823" t="s">
        <v>46</v>
      </c>
      <c r="B18" s="824" t="s">
        <v>632</v>
      </c>
      <c r="C18" s="824" t="s">
        <v>631</v>
      </c>
      <c r="D18" s="825" t="s">
        <v>626</v>
      </c>
      <c r="E18" s="826" t="s">
        <v>627</v>
      </c>
      <c r="F18" s="825" t="s">
        <v>628</v>
      </c>
      <c r="G18" s="825" t="s">
        <v>629</v>
      </c>
      <c r="H18" s="825" t="s">
        <v>630</v>
      </c>
      <c r="I18" s="825" t="s">
        <v>271</v>
      </c>
    </row>
    <row r="19" spans="1:9" s="10" customFormat="1" ht="11.25">
      <c r="A19" s="852"/>
      <c r="B19" s="853"/>
      <c r="C19" s="853"/>
      <c r="D19" s="854"/>
      <c r="E19" s="855"/>
      <c r="F19" s="854"/>
      <c r="G19" s="854"/>
      <c r="H19" s="854"/>
      <c r="I19" s="856"/>
    </row>
    <row r="20" spans="1:9" s="862" customFormat="1">
      <c r="A20" s="762" t="s">
        <v>77</v>
      </c>
      <c r="B20" s="857"/>
      <c r="C20" s="857"/>
      <c r="D20" s="858"/>
      <c r="E20" s="859"/>
      <c r="F20" s="860"/>
      <c r="G20" s="860"/>
      <c r="H20" s="860"/>
      <c r="I20" s="861"/>
    </row>
    <row r="21" spans="1:9" s="862" customFormat="1" ht="11.25">
      <c r="A21" s="769" t="s">
        <v>78</v>
      </c>
      <c r="B21" s="863">
        <v>0.5</v>
      </c>
      <c r="C21" s="864">
        <f>B21</f>
        <v>0.5</v>
      </c>
      <c r="D21" s="756">
        <f>B21*LaborSkill</f>
        <v>7.5</v>
      </c>
      <c r="E21" s="865">
        <v>2</v>
      </c>
      <c r="F21" s="756">
        <f>IF(E21&gt;0,VLOOKUP(E21,EquipCost,15)*C21,0)</f>
        <v>11.855</v>
      </c>
      <c r="G21" s="766"/>
      <c r="H21" s="766"/>
      <c r="I21" s="767">
        <f>SUM(F21:H21)+D21</f>
        <v>19.355</v>
      </c>
    </row>
    <row r="22" spans="1:9" s="862" customFormat="1" ht="11.25">
      <c r="A22" s="769" t="s">
        <v>79</v>
      </c>
      <c r="B22" s="863"/>
      <c r="C22" s="864">
        <f>B21</f>
        <v>0.5</v>
      </c>
      <c r="D22" s="756"/>
      <c r="E22" s="865">
        <v>8</v>
      </c>
      <c r="F22" s="756">
        <f>IF(E22&gt;0,VLOOKUP(E22,EquipCost,15)*C22,0)</f>
        <v>2.2238888888888888</v>
      </c>
      <c r="G22" s="766"/>
      <c r="H22" s="766"/>
      <c r="I22" s="767">
        <f>SUM(F22:H22)+D22</f>
        <v>2.2238888888888888</v>
      </c>
    </row>
    <row r="23" spans="1:9" s="862" customFormat="1" ht="11.25">
      <c r="A23" s="769" t="s">
        <v>78</v>
      </c>
      <c r="B23" s="863">
        <v>0.3</v>
      </c>
      <c r="C23" s="864">
        <f>B23</f>
        <v>0.3</v>
      </c>
      <c r="D23" s="756">
        <f>B23*LaborSkill</f>
        <v>4.5</v>
      </c>
      <c r="E23" s="865">
        <v>2</v>
      </c>
      <c r="F23" s="756">
        <f>IF(E23&gt;0,VLOOKUP(E23,EquipCost,15)*C23,0)</f>
        <v>7.1130000000000004</v>
      </c>
      <c r="G23" s="766"/>
      <c r="H23" s="766"/>
      <c r="I23" s="767">
        <f>SUM(F23:H23)+D23</f>
        <v>11.613</v>
      </c>
    </row>
    <row r="24" spans="1:9" s="862" customFormat="1" ht="11.25">
      <c r="A24" s="769" t="s">
        <v>80</v>
      </c>
      <c r="B24" s="863"/>
      <c r="C24" s="864">
        <f>B23</f>
        <v>0.3</v>
      </c>
      <c r="D24" s="756"/>
      <c r="E24" s="865">
        <v>9</v>
      </c>
      <c r="F24" s="756">
        <f>IF(E24&gt;0,VLOOKUP(E24,EquipCost,15)*C24,0)</f>
        <v>1.6300000000000001</v>
      </c>
      <c r="G24" s="766"/>
      <c r="H24" s="766"/>
      <c r="I24" s="767">
        <f>SUM(F24:H24)+D24</f>
        <v>1.6300000000000001</v>
      </c>
    </row>
    <row r="25" spans="1:9" s="862" customFormat="1" ht="11.25">
      <c r="A25" s="769" t="s">
        <v>81</v>
      </c>
      <c r="B25" s="863">
        <v>3</v>
      </c>
      <c r="C25" s="864">
        <f>B25</f>
        <v>3</v>
      </c>
      <c r="D25" s="756">
        <f>B25*LaborNoSkill</f>
        <v>27</v>
      </c>
      <c r="E25" s="865">
        <v>15</v>
      </c>
      <c r="F25" s="756">
        <f>IF(E25&gt;0,VLOOKUP(E25,EquipCost,15)*C25,0)</f>
        <v>25.331249999999997</v>
      </c>
      <c r="G25" s="766"/>
      <c r="H25" s="766"/>
      <c r="I25" s="767">
        <f>SUM(F25:H25)+D25</f>
        <v>52.331249999999997</v>
      </c>
    </row>
    <row r="26" spans="1:9" s="862" customFormat="1" ht="11.25">
      <c r="A26" s="762" t="s">
        <v>82</v>
      </c>
      <c r="B26" s="863"/>
      <c r="C26" s="864"/>
      <c r="D26" s="756"/>
      <c r="E26" s="865"/>
      <c r="F26" s="756"/>
      <c r="G26" s="766"/>
      <c r="H26" s="766"/>
      <c r="I26" s="767"/>
    </row>
    <row r="27" spans="1:9" s="862" customFormat="1" ht="11.25">
      <c r="A27" s="769" t="s">
        <v>83</v>
      </c>
      <c r="B27" s="863">
        <v>0.5</v>
      </c>
      <c r="C27" s="864">
        <f>B27</f>
        <v>0.5</v>
      </c>
      <c r="D27" s="756">
        <f>B27*LaborSkill</f>
        <v>7.5</v>
      </c>
      <c r="E27" s="865">
        <v>1</v>
      </c>
      <c r="F27" s="756">
        <f>IF(E27&gt;0,VLOOKUP(E27,EquipCost,15)*C27,0)</f>
        <v>7.6260000000000003</v>
      </c>
      <c r="G27" s="766"/>
      <c r="H27" s="766"/>
      <c r="I27" s="767">
        <f>SUM(F27:H27)+D27</f>
        <v>15.126000000000001</v>
      </c>
    </row>
    <row r="28" spans="1:9" s="862" customFormat="1" ht="11.25">
      <c r="A28" s="769" t="s">
        <v>84</v>
      </c>
      <c r="B28" s="863">
        <v>0.5</v>
      </c>
      <c r="C28" s="864">
        <v>0.5</v>
      </c>
      <c r="D28" s="756">
        <f>B28*LaborSkill</f>
        <v>7.5</v>
      </c>
      <c r="E28" s="865">
        <v>1</v>
      </c>
      <c r="F28" s="756">
        <f>IF(E28&gt;0,VLOOKUP(E28,EquipCost,15)*C28,0)</f>
        <v>7.6260000000000003</v>
      </c>
      <c r="G28" s="860"/>
      <c r="H28" s="860"/>
      <c r="I28" s="767">
        <f>SUM(F28:H28)+D28</f>
        <v>15.126000000000001</v>
      </c>
    </row>
    <row r="29" spans="1:9" s="862" customFormat="1" ht="11.25">
      <c r="A29" s="769" t="s">
        <v>85</v>
      </c>
      <c r="B29" s="863"/>
      <c r="C29" s="864"/>
      <c r="D29" s="756"/>
      <c r="E29" s="865"/>
      <c r="F29" s="756"/>
      <c r="G29" s="756">
        <f>VATree*TreeCost</f>
        <v>4667.1428571428578</v>
      </c>
      <c r="H29" s="860"/>
      <c r="I29" s="767">
        <f>SUM(F29:H29)+D29</f>
        <v>4667.1428571428578</v>
      </c>
    </row>
    <row r="30" spans="1:9" s="862" customFormat="1" ht="11.25">
      <c r="A30" s="769" t="s">
        <v>86</v>
      </c>
      <c r="B30" s="863"/>
      <c r="C30" s="864"/>
      <c r="D30" s="756"/>
      <c r="E30" s="865"/>
      <c r="F30" s="756"/>
      <c r="G30" s="860"/>
      <c r="H30" s="756">
        <f>VATree*CustomPlant</f>
        <v>186.68571428571428</v>
      </c>
      <c r="I30" s="767">
        <f>SUM(F30:H30)+D30</f>
        <v>186.68571428571428</v>
      </c>
    </row>
    <row r="31" spans="1:9" s="862" customFormat="1" ht="11.25">
      <c r="A31" s="762" t="s">
        <v>122</v>
      </c>
      <c r="B31" s="846"/>
      <c r="C31" s="835"/>
      <c r="D31" s="756"/>
      <c r="E31" s="836"/>
      <c r="F31" s="756"/>
      <c r="G31" s="757"/>
      <c r="H31" s="761"/>
      <c r="I31" s="758"/>
    </row>
    <row r="32" spans="1:9" s="10" customFormat="1" ht="11.25">
      <c r="A32" s="769" t="s">
        <v>123</v>
      </c>
      <c r="B32" s="863">
        <v>40</v>
      </c>
      <c r="C32" s="864"/>
      <c r="D32" s="756">
        <f>B32*LaborNoSkill</f>
        <v>360</v>
      </c>
      <c r="E32" s="865"/>
      <c r="F32" s="756">
        <f>IF(E32&gt;0,VLOOKUP(E32,EquipCost,15)*C32,0)</f>
        <v>0</v>
      </c>
      <c r="G32" s="756">
        <f>+VATrellis</f>
        <v>1300.4153714285717</v>
      </c>
      <c r="H32" s="756"/>
      <c r="I32" s="767">
        <f>SUM(F32:H32)+D32</f>
        <v>1660.4153714285717</v>
      </c>
    </row>
    <row r="33" spans="1:9" s="10" customFormat="1" ht="11.25">
      <c r="A33" s="769" t="s">
        <v>113</v>
      </c>
      <c r="B33" s="863">
        <v>8</v>
      </c>
      <c r="C33" s="863">
        <v>20</v>
      </c>
      <c r="D33" s="756">
        <f>B33*LaborNoSkill</f>
        <v>72</v>
      </c>
      <c r="E33" s="866">
        <v>17</v>
      </c>
      <c r="F33" s="756">
        <f>IF(E33&gt;0,VLOOKUP(E33,EquipCost,15)*C33,0)</f>
        <v>44</v>
      </c>
      <c r="G33" s="860">
        <f>+VAIrr</f>
        <v>1108.3712</v>
      </c>
      <c r="H33" s="756"/>
      <c r="I33" s="767">
        <f>SUM(F33:H33)+D33</f>
        <v>1224.3712</v>
      </c>
    </row>
    <row r="34" spans="1:9" s="10" customFormat="1" ht="11.25">
      <c r="A34" s="752" t="s">
        <v>89</v>
      </c>
      <c r="B34" s="846">
        <f>+VATrain1</f>
        <v>30</v>
      </c>
      <c r="C34" s="846">
        <v>2</v>
      </c>
      <c r="D34" s="756">
        <f>B34*LaborNoSkill</f>
        <v>270</v>
      </c>
      <c r="E34" s="836">
        <v>1</v>
      </c>
      <c r="F34" s="756">
        <f>IF(E34&gt;0,VLOOKUP(E34,EquipCost,15)*C34,0)</f>
        <v>30.504000000000001</v>
      </c>
      <c r="G34" s="757">
        <f>+VATrainMat1</f>
        <v>20</v>
      </c>
      <c r="H34" s="757"/>
      <c r="I34" s="758">
        <f>SUM(F34:H34)+D34</f>
        <v>320.50400000000002</v>
      </c>
    </row>
    <row r="35" spans="1:9" s="10" customFormat="1" ht="11.25">
      <c r="A35" s="752" t="s">
        <v>90</v>
      </c>
      <c r="B35" s="846">
        <f>+VAPrune1</f>
        <v>0</v>
      </c>
      <c r="C35" s="846">
        <f>+B35</f>
        <v>0</v>
      </c>
      <c r="D35" s="756">
        <f>B35*LaborNoSkill</f>
        <v>0</v>
      </c>
      <c r="E35" s="836">
        <v>18</v>
      </c>
      <c r="F35" s="756">
        <f>IF(E35&gt;0,VLOOKUP(E35,EquipCost,15)*C35,0)</f>
        <v>0</v>
      </c>
      <c r="G35" s="757"/>
      <c r="H35" s="757"/>
      <c r="I35" s="758">
        <f>SUM(F35:H35)+D35</f>
        <v>0</v>
      </c>
    </row>
    <row r="36" spans="1:9" s="862" customFormat="1" ht="11.25">
      <c r="A36" s="769" t="s">
        <v>91</v>
      </c>
      <c r="B36" s="867"/>
      <c r="C36" s="867"/>
      <c r="D36" s="868"/>
      <c r="E36" s="866"/>
      <c r="F36" s="756"/>
      <c r="G36" s="868"/>
      <c r="H36" s="868"/>
      <c r="I36" s="869">
        <f>SUM(F36:H36)+D36</f>
        <v>0</v>
      </c>
    </row>
    <row r="37" spans="1:9" s="862" customFormat="1" ht="11.25">
      <c r="A37" s="762" t="s">
        <v>92</v>
      </c>
      <c r="B37" s="863"/>
      <c r="C37" s="864"/>
      <c r="D37" s="756"/>
      <c r="E37" s="865"/>
      <c r="F37" s="756"/>
      <c r="G37" s="766"/>
      <c r="H37" s="766"/>
      <c r="I37" s="767"/>
    </row>
    <row r="38" spans="1:9" s="862" customFormat="1" ht="11.25">
      <c r="A38" s="769" t="s">
        <v>88</v>
      </c>
      <c r="B38" s="863">
        <f>+VAHerbTime</f>
        <v>1.1199999999999999</v>
      </c>
      <c r="C38" s="864">
        <f>+B38</f>
        <v>1.1199999999999999</v>
      </c>
      <c r="D38" s="756">
        <f>B38*LaborSkill</f>
        <v>16.799999999999997</v>
      </c>
      <c r="E38" s="865">
        <v>3</v>
      </c>
      <c r="F38" s="756">
        <f>IF(E38&gt;0,VLOOKUP(E38,EquipCost,15)*C38,0)</f>
        <v>13.613599999999998</v>
      </c>
      <c r="G38" s="766"/>
      <c r="H38" s="766"/>
      <c r="I38" s="767">
        <f>SUM(F38:H38)+D38</f>
        <v>30.413599999999995</v>
      </c>
    </row>
    <row r="39" spans="1:9" s="862" customFormat="1" ht="11.25">
      <c r="A39" s="769" t="s">
        <v>93</v>
      </c>
      <c r="B39" s="863"/>
      <c r="C39" s="864">
        <f>+C38</f>
        <v>1.1199999999999999</v>
      </c>
      <c r="D39" s="756"/>
      <c r="E39" s="865">
        <v>5</v>
      </c>
      <c r="F39" s="756">
        <f>IF(E39&gt;0,VLOOKUP(E39,EquipCost,15)*C39,0)</f>
        <v>4.9634666666666662</v>
      </c>
      <c r="G39" s="766">
        <f>+VAHerb1</f>
        <v>8.942903273809522</v>
      </c>
      <c r="H39" s="766"/>
      <c r="I39" s="767">
        <f>SUM(F39:H39)+D39</f>
        <v>13.906369940476189</v>
      </c>
    </row>
    <row r="40" spans="1:9" s="862" customFormat="1" ht="11.25">
      <c r="A40" s="762" t="s">
        <v>94</v>
      </c>
      <c r="B40" s="863"/>
      <c r="C40" s="864"/>
      <c r="D40" s="756"/>
      <c r="E40" s="865"/>
      <c r="F40" s="756"/>
      <c r="G40" s="766"/>
      <c r="H40" s="766"/>
      <c r="I40" s="767"/>
    </row>
    <row r="41" spans="1:9" s="862" customFormat="1" ht="11.25">
      <c r="A41" s="769" t="s">
        <v>95</v>
      </c>
      <c r="B41" s="863">
        <f>+VASprayTime1</f>
        <v>0.18</v>
      </c>
      <c r="C41" s="864">
        <f>+B41</f>
        <v>0.18</v>
      </c>
      <c r="D41" s="756">
        <f>B41*LaborSkill</f>
        <v>2.6999999999999997</v>
      </c>
      <c r="E41" s="865">
        <v>2</v>
      </c>
      <c r="F41" s="756">
        <f>IF(E41&gt;0,VLOOKUP(E41,EquipCost,15)*C41,0)</f>
        <v>4.2678000000000003</v>
      </c>
      <c r="G41" s="766">
        <f>+VASprayMat1</f>
        <v>41.276383184523802</v>
      </c>
      <c r="H41" s="766"/>
      <c r="I41" s="767">
        <f>SUM(F41:H41)+D41</f>
        <v>48.244183184523806</v>
      </c>
    </row>
    <row r="42" spans="1:9" s="862" customFormat="1" ht="11.25">
      <c r="A42" s="769" t="s">
        <v>96</v>
      </c>
      <c r="B42" s="863"/>
      <c r="C42" s="864">
        <f>+C41</f>
        <v>0.18</v>
      </c>
      <c r="D42" s="756"/>
      <c r="E42" s="865">
        <v>4</v>
      </c>
      <c r="F42" s="756">
        <f>IF(E42&gt;0,VLOOKUP(E42,EquipCost,15)*C42,0)</f>
        <v>1.8584999999999998</v>
      </c>
      <c r="G42" s="766"/>
      <c r="H42" s="766"/>
      <c r="I42" s="767">
        <f>SUM(F42:H42)+D42</f>
        <v>1.8584999999999998</v>
      </c>
    </row>
    <row r="43" spans="1:9" s="10" customFormat="1">
      <c r="A43" s="762" t="s">
        <v>97</v>
      </c>
      <c r="B43" s="863"/>
      <c r="C43" s="864"/>
      <c r="D43" s="756"/>
      <c r="E43" s="865"/>
      <c r="F43" s="756"/>
      <c r="G43" s="311"/>
      <c r="H43" s="766"/>
      <c r="I43" s="767">
        <f>SUM(F43:H43)+D43</f>
        <v>0</v>
      </c>
    </row>
    <row r="44" spans="1:9" s="10" customFormat="1" ht="11.25">
      <c r="A44" s="769" t="s">
        <v>88</v>
      </c>
      <c r="B44" s="863">
        <f>+VAFertTime1</f>
        <v>0.1</v>
      </c>
      <c r="C44" s="864">
        <f>+B44</f>
        <v>0.1</v>
      </c>
      <c r="D44" s="756">
        <f>B44*LaborNoSkill</f>
        <v>0.9</v>
      </c>
      <c r="E44" s="865">
        <v>3</v>
      </c>
      <c r="F44" s="756">
        <f>IF(E44&gt;0,VLOOKUP(E44,EquipCost,15)*C44,0)</f>
        <v>1.2155</v>
      </c>
      <c r="G44" s="756">
        <f>+VAFert1</f>
        <v>1.9446428571428573</v>
      </c>
      <c r="H44" s="766"/>
      <c r="I44" s="767">
        <f>SUM(F44:H44)+D44</f>
        <v>4.0601428571428579</v>
      </c>
    </row>
    <row r="45" spans="1:9" s="10" customFormat="1" ht="11.25">
      <c r="A45" s="769" t="s">
        <v>98</v>
      </c>
      <c r="B45" s="863"/>
      <c r="C45" s="864">
        <v>0.2</v>
      </c>
      <c r="D45" s="756"/>
      <c r="E45" s="865">
        <v>6</v>
      </c>
      <c r="F45" s="756">
        <f>IF(E45&gt;0,VLOOKUP(E45,EquipCost,15)*C45,0)</f>
        <v>0.62704761904761908</v>
      </c>
      <c r="G45" s="766"/>
      <c r="H45" s="766"/>
      <c r="I45" s="767">
        <f>SUM(F45:H45)+D45</f>
        <v>0.62704761904761908</v>
      </c>
    </row>
    <row r="46" spans="1:9" s="862" customFormat="1" ht="11.25">
      <c r="A46" s="762" t="s">
        <v>99</v>
      </c>
      <c r="B46" s="863"/>
      <c r="C46" s="864"/>
      <c r="D46" s="756"/>
      <c r="E46" s="865"/>
      <c r="F46" s="756"/>
      <c r="G46" s="766"/>
      <c r="H46" s="766"/>
      <c r="I46" s="767"/>
    </row>
    <row r="47" spans="1:9" s="10" customFormat="1" ht="11.25">
      <c r="A47" s="769" t="s">
        <v>88</v>
      </c>
      <c r="B47" s="863">
        <v>0.3</v>
      </c>
      <c r="C47" s="864">
        <f>0.3*3</f>
        <v>0.89999999999999991</v>
      </c>
      <c r="D47" s="756">
        <f>B47*LaborSkill</f>
        <v>4.5</v>
      </c>
      <c r="E47" s="865">
        <v>3</v>
      </c>
      <c r="F47" s="756">
        <f>IF(E47&gt;0,VLOOKUP(E47,EquipCost,15)*C47,0)</f>
        <v>10.939499999999999</v>
      </c>
      <c r="G47" s="766"/>
      <c r="H47" s="766"/>
      <c r="I47" s="767">
        <f>SUM(F47:H47)+D47</f>
        <v>15.439499999999999</v>
      </c>
    </row>
    <row r="48" spans="1:9" s="10" customFormat="1" ht="11.25">
      <c r="A48" s="769" t="s">
        <v>100</v>
      </c>
      <c r="B48" s="863"/>
      <c r="C48" s="864">
        <f>+B47</f>
        <v>0.3</v>
      </c>
      <c r="D48" s="756"/>
      <c r="E48" s="865">
        <v>6</v>
      </c>
      <c r="F48" s="756">
        <f>IF(E48&gt;0,VLOOKUP(E48,EquipCost,15)*C48,0)</f>
        <v>0.94057142857142861</v>
      </c>
      <c r="G48" s="766">
        <v>11</v>
      </c>
      <c r="H48" s="766"/>
      <c r="I48" s="767">
        <f>SUM(F48:H48)+D48</f>
        <v>11.940571428571429</v>
      </c>
    </row>
    <row r="49" spans="1:9" s="10" customFormat="1" ht="11.25">
      <c r="A49" s="769" t="s">
        <v>101</v>
      </c>
      <c r="B49" s="863">
        <v>0.3</v>
      </c>
      <c r="C49" s="864">
        <f>B49</f>
        <v>0.3</v>
      </c>
      <c r="D49" s="756">
        <f>B49*LaborNoSkill</f>
        <v>2.6999999999999997</v>
      </c>
      <c r="E49" s="865">
        <v>12</v>
      </c>
      <c r="F49" s="756">
        <f>IF(E49&gt;0,VLOOKUP(E49,EquipCost,15)*C49,0)</f>
        <v>2.1159999999999997</v>
      </c>
      <c r="G49" s="766"/>
      <c r="H49" s="766"/>
      <c r="I49" s="767">
        <f>SUM(F49:H49)+D49</f>
        <v>4.8159999999999989</v>
      </c>
    </row>
    <row r="50" spans="1:9" s="10" customFormat="1" ht="11.25">
      <c r="A50" s="769" t="s">
        <v>102</v>
      </c>
      <c r="B50" s="863">
        <v>0.3</v>
      </c>
      <c r="C50" s="864">
        <f>B50</f>
        <v>0.3</v>
      </c>
      <c r="D50" s="756">
        <f>B50*LaborNoSkill</f>
        <v>2.6999999999999997</v>
      </c>
      <c r="E50" s="865">
        <v>12</v>
      </c>
      <c r="F50" s="756">
        <f>IF(E50&gt;0,VLOOKUP(E50,EquipCost,15)*C50,0)</f>
        <v>2.1159999999999997</v>
      </c>
      <c r="G50" s="766"/>
      <c r="H50" s="766"/>
      <c r="I50" s="767">
        <f>SUM(F50:H50)+D50</f>
        <v>4.8159999999999989</v>
      </c>
    </row>
    <row r="51" spans="1:9" s="10" customFormat="1">
      <c r="A51" s="752" t="s">
        <v>103</v>
      </c>
      <c r="B51" s="870"/>
      <c r="C51" s="864"/>
      <c r="D51" s="756"/>
      <c r="E51" s="865"/>
      <c r="F51" s="756"/>
      <c r="G51" s="766"/>
      <c r="H51" s="766"/>
      <c r="I51" s="767"/>
    </row>
    <row r="52" spans="1:9" s="10" customFormat="1" ht="11.25">
      <c r="A52" s="759" t="s">
        <v>88</v>
      </c>
      <c r="B52" s="835">
        <f>+VAMowTIme1</f>
        <v>0</v>
      </c>
      <c r="C52" s="846">
        <f>B52</f>
        <v>0</v>
      </c>
      <c r="D52" s="756">
        <f>+B52*LaborNoSkill</f>
        <v>0</v>
      </c>
      <c r="E52" s="836">
        <v>3</v>
      </c>
      <c r="F52" s="756">
        <f>IF(E52&gt;0,VLOOKUP(E52,EquipCost,15)*C52,0)</f>
        <v>0</v>
      </c>
      <c r="G52" s="757"/>
      <c r="H52" s="757"/>
      <c r="I52" s="758">
        <f>SUM(F52:H52)+D52</f>
        <v>0</v>
      </c>
    </row>
    <row r="53" spans="1:9" s="10" customFormat="1" ht="11.25">
      <c r="A53" s="771" t="s">
        <v>104</v>
      </c>
      <c r="B53" s="871"/>
      <c r="C53" s="846">
        <f>B52</f>
        <v>0</v>
      </c>
      <c r="D53" s="756"/>
      <c r="E53" s="836">
        <v>7</v>
      </c>
      <c r="F53" s="756">
        <f>IF(E53&gt;0,VLOOKUP(E53,EquipCost,15)*C53,0)</f>
        <v>0</v>
      </c>
      <c r="G53" s="757"/>
      <c r="H53" s="757"/>
      <c r="I53" s="758">
        <f>SUM(F53:H53)+D53</f>
        <v>0</v>
      </c>
    </row>
    <row r="54" spans="1:9">
      <c r="A54" s="752" t="s">
        <v>105</v>
      </c>
      <c r="B54" s="835"/>
      <c r="C54" s="846"/>
      <c r="D54" s="756"/>
      <c r="E54" s="836"/>
      <c r="F54" s="756"/>
      <c r="G54" s="757"/>
      <c r="H54" s="757"/>
      <c r="I54" s="758"/>
    </row>
    <row r="55" spans="1:9">
      <c r="A55" s="759" t="s">
        <v>88</v>
      </c>
      <c r="B55" s="863">
        <f>+VABaitTime1</f>
        <v>0.11764705882352941</v>
      </c>
      <c r="C55" s="846">
        <f>+B55</f>
        <v>0.11764705882352941</v>
      </c>
      <c r="D55" s="756">
        <f>+B55*LaborNoSkill</f>
        <v>1.0588235294117647</v>
      </c>
      <c r="E55" s="836">
        <v>3</v>
      </c>
      <c r="F55" s="756">
        <f>IF(E55&gt;0,VLOOKUP(E55,EquipCost,15)*C55,0)</f>
        <v>1.43</v>
      </c>
      <c r="G55" s="757"/>
      <c r="H55" s="757"/>
      <c r="I55" s="758">
        <f>SUM(F55:H55)+D55</f>
        <v>2.4888235294117647</v>
      </c>
    </row>
    <row r="56" spans="1:9" s="862" customFormat="1" ht="11.25">
      <c r="A56" s="759" t="s">
        <v>98</v>
      </c>
      <c r="B56" s="872"/>
      <c r="C56" s="864">
        <f>+B55</f>
        <v>0.11764705882352941</v>
      </c>
      <c r="D56" s="756"/>
      <c r="E56" s="865">
        <v>6</v>
      </c>
      <c r="F56" s="756">
        <f>IF(E56&gt;0,VLOOKUP(E56,EquipCost,15)*C56,0)</f>
        <v>0.36885154061624653</v>
      </c>
      <c r="G56" s="766">
        <f>+VABait1</f>
        <v>5.5</v>
      </c>
      <c r="H56" s="766"/>
      <c r="I56" s="767">
        <f>SUM(F56:H56)+D56</f>
        <v>5.8688515406162463</v>
      </c>
    </row>
    <row r="57" spans="1:9" s="862" customFormat="1" ht="11.25">
      <c r="A57" s="769" t="s">
        <v>106</v>
      </c>
      <c r="B57" s="864"/>
      <c r="C57" s="864"/>
      <c r="D57" s="756"/>
      <c r="E57" s="866"/>
      <c r="F57" s="756"/>
      <c r="G57" s="756"/>
      <c r="H57" s="860"/>
      <c r="I57" s="767">
        <f>SUM(F57:G57)+D57</f>
        <v>0</v>
      </c>
    </row>
    <row r="58" spans="1:9" s="10" customFormat="1" ht="11.25">
      <c r="A58" s="769" t="s">
        <v>107</v>
      </c>
      <c r="B58" s="863">
        <v>0.3</v>
      </c>
      <c r="C58" s="864">
        <f>B58</f>
        <v>0.3</v>
      </c>
      <c r="D58" s="756">
        <f>B58*LaborNoSkill</f>
        <v>2.6999999999999997</v>
      </c>
      <c r="E58" s="865">
        <v>1</v>
      </c>
      <c r="F58" s="756">
        <f>IF(E58&gt;0,VLOOKUP(E58,EquipCost,15)*C58,0)</f>
        <v>4.5755999999999997</v>
      </c>
      <c r="G58" s="756">
        <f>+VAWild*VATree</f>
        <v>24.891428571428573</v>
      </c>
      <c r="H58" s="766"/>
      <c r="I58" s="767">
        <f>SUM(F58:H58)+D58</f>
        <v>32.167028571428574</v>
      </c>
    </row>
    <row r="59" spans="1:9">
      <c r="A59" s="771" t="s">
        <v>108</v>
      </c>
      <c r="B59" s="871"/>
      <c r="C59" s="871"/>
      <c r="D59" s="772"/>
      <c r="E59" s="873"/>
      <c r="F59" s="772"/>
      <c r="G59" s="772"/>
      <c r="H59" s="772"/>
      <c r="I59" s="767">
        <f>SUM(F59:H59)+D59</f>
        <v>0</v>
      </c>
    </row>
    <row r="60" spans="1:9">
      <c r="A60" s="771" t="s">
        <v>109</v>
      </c>
      <c r="B60" s="871"/>
      <c r="C60" s="871"/>
      <c r="D60" s="772"/>
      <c r="E60" s="873"/>
      <c r="F60" s="772"/>
      <c r="G60" s="772"/>
      <c r="H60" s="772"/>
      <c r="I60" s="767">
        <f>SUM(F60:H60)+D60</f>
        <v>0</v>
      </c>
    </row>
    <row r="61" spans="1:9" s="10" customFormat="1" ht="11.25">
      <c r="A61" s="769" t="s">
        <v>71</v>
      </c>
      <c r="B61" s="863"/>
      <c r="C61" s="863"/>
      <c r="D61" s="756"/>
      <c r="E61" s="865"/>
      <c r="F61" s="756"/>
      <c r="G61" s="766"/>
      <c r="H61" s="756">
        <f>+RETax</f>
        <v>35</v>
      </c>
      <c r="I61" s="767">
        <f>SUM(F61:H61)+D61</f>
        <v>35</v>
      </c>
    </row>
    <row r="62" spans="1:9" s="10" customFormat="1" ht="11.25">
      <c r="A62" s="874" t="s">
        <v>72</v>
      </c>
      <c r="B62" s="875">
        <v>2</v>
      </c>
      <c r="C62" s="875"/>
      <c r="D62" s="780">
        <f>B62*LaborSkill</f>
        <v>30</v>
      </c>
      <c r="E62" s="876"/>
      <c r="F62" s="780">
        <f>IF(E62&gt;0,VLOOKUP(E62,EquipCost,15)*C62,0)</f>
        <v>0</v>
      </c>
      <c r="G62" s="877"/>
      <c r="H62" s="780">
        <f>+other</f>
        <v>12.5</v>
      </c>
      <c r="I62" s="878">
        <f>SUM(F62:H62)+D62</f>
        <v>42.5</v>
      </c>
    </row>
    <row r="63" spans="1:9" s="10" customFormat="1" ht="11.25">
      <c r="A63" s="784"/>
      <c r="B63" s="879"/>
      <c r="C63" s="879"/>
      <c r="D63" s="788"/>
      <c r="E63" s="844"/>
      <c r="F63" s="788"/>
      <c r="G63" s="788"/>
      <c r="H63" s="788"/>
      <c r="I63" s="789"/>
    </row>
    <row r="64" spans="1:9" s="10" customFormat="1" ht="11.25">
      <c r="A64" s="790" t="s">
        <v>49</v>
      </c>
      <c r="B64" s="791">
        <f>SUM(B19:B63)</f>
        <v>87.517647058823528</v>
      </c>
      <c r="C64" s="791">
        <f>SUM(C19:C63)</f>
        <v>32.835294117647052</v>
      </c>
      <c r="D64" s="792">
        <f>SUM(D19:D63)</f>
        <v>820.05882352941182</v>
      </c>
      <c r="E64" s="845"/>
      <c r="F64" s="792">
        <f>SUM(F19:F63)</f>
        <v>186.94157614379085</v>
      </c>
      <c r="G64" s="792">
        <f>SUM(G19:G63)</f>
        <v>7189.4847864583344</v>
      </c>
      <c r="H64" s="792">
        <f>SUM(H19:H63)</f>
        <v>234.18571428571428</v>
      </c>
      <c r="I64" s="794">
        <f>SUM(I19:I63)</f>
        <v>8430.6709004172517</v>
      </c>
    </row>
    <row r="65" spans="1:9" s="10" customFormat="1" ht="20.25">
      <c r="A65" s="1348" t="s">
        <v>634</v>
      </c>
      <c r="B65" s="1348"/>
      <c r="C65" s="1348"/>
      <c r="D65" s="1348"/>
      <c r="E65" s="1348"/>
      <c r="F65" s="1348"/>
      <c r="G65" s="1348"/>
      <c r="H65" s="1348"/>
      <c r="I65" s="1348"/>
    </row>
    <row r="66" spans="1:9" s="827" customFormat="1" ht="11.25">
      <c r="A66" s="823" t="s">
        <v>46</v>
      </c>
      <c r="B66" s="824" t="s">
        <v>632</v>
      </c>
      <c r="C66" s="824" t="s">
        <v>631</v>
      </c>
      <c r="D66" s="825" t="s">
        <v>626</v>
      </c>
      <c r="E66" s="826" t="s">
        <v>627</v>
      </c>
      <c r="F66" s="825" t="s">
        <v>628</v>
      </c>
      <c r="G66" s="825" t="s">
        <v>629</v>
      </c>
      <c r="H66" s="825" t="s">
        <v>630</v>
      </c>
      <c r="I66" s="825" t="s">
        <v>271</v>
      </c>
    </row>
    <row r="67" spans="1:9">
      <c r="A67" s="314"/>
      <c r="B67" s="880"/>
      <c r="C67" s="880"/>
      <c r="D67" s="315"/>
      <c r="E67" s="717"/>
      <c r="F67" s="315"/>
      <c r="G67" s="315"/>
      <c r="H67" s="315"/>
      <c r="I67" s="881"/>
    </row>
    <row r="68" spans="1:9">
      <c r="A68" s="752" t="s">
        <v>89</v>
      </c>
      <c r="B68" s="846">
        <f>+VATrain2</f>
        <v>80</v>
      </c>
      <c r="C68" s="846">
        <v>2</v>
      </c>
      <c r="D68" s="756">
        <f>B68*LaborNoSkill</f>
        <v>720</v>
      </c>
      <c r="E68" s="836">
        <v>1</v>
      </c>
      <c r="F68" s="756">
        <f>IF(E68&gt;0,VLOOKUP(E68,EquipCost,15)*C68,0)</f>
        <v>30.504000000000001</v>
      </c>
      <c r="G68" s="757">
        <f>+VATrainMat2</f>
        <v>60</v>
      </c>
      <c r="H68" s="757"/>
      <c r="I68" s="758">
        <f>SUM(F68:H68)+D68</f>
        <v>810.50400000000002</v>
      </c>
    </row>
    <row r="69" spans="1:9">
      <c r="A69" s="752" t="s">
        <v>90</v>
      </c>
      <c r="B69" s="846">
        <f>+VAPrune2</f>
        <v>0</v>
      </c>
      <c r="C69" s="846">
        <f>+B69</f>
        <v>0</v>
      </c>
      <c r="D69" s="756">
        <f>B69*LaborNoSkill</f>
        <v>0</v>
      </c>
      <c r="E69" s="836">
        <v>18</v>
      </c>
      <c r="F69" s="756">
        <f>IF(E69&gt;0,VLOOKUP(E69,EquipCost,15)*C69,0)</f>
        <v>0</v>
      </c>
      <c r="G69" s="757"/>
      <c r="H69" s="757"/>
      <c r="I69" s="758">
        <f>SUM(F69:H69)+D69</f>
        <v>0</v>
      </c>
    </row>
    <row r="70" spans="1:9">
      <c r="A70" s="759" t="s">
        <v>110</v>
      </c>
      <c r="B70" s="846">
        <v>0</v>
      </c>
      <c r="C70" s="846">
        <f>+B70</f>
        <v>0</v>
      </c>
      <c r="D70" s="756">
        <f>B70*LaborSkill</f>
        <v>0</v>
      </c>
      <c r="E70" s="836">
        <v>3</v>
      </c>
      <c r="F70" s="756">
        <f>IF(E70&gt;0,VLOOKUP(E70,EquipCost,15)*C70,0)</f>
        <v>0</v>
      </c>
      <c r="G70" s="757"/>
      <c r="H70" s="757"/>
      <c r="I70" s="758">
        <f>SUM(F70:H70)+D70</f>
        <v>0</v>
      </c>
    </row>
    <row r="71" spans="1:9">
      <c r="A71" s="759" t="s">
        <v>111</v>
      </c>
      <c r="B71" s="835">
        <f>0.0333333333333333*VATree*0.05</f>
        <v>1.0371428571428563</v>
      </c>
      <c r="C71" s="846">
        <f>B71</f>
        <v>1.0371428571428563</v>
      </c>
      <c r="D71" s="756">
        <f>B71*LaborNoSkill</f>
        <v>9.3342857142857056</v>
      </c>
      <c r="E71" s="836">
        <v>1</v>
      </c>
      <c r="F71" s="756">
        <f>IF(E71&gt;0,VLOOKUP(E71,EquipCost,15)*C71,0)</f>
        <v>15.818502857142844</v>
      </c>
      <c r="G71" s="761">
        <f>+VATree*TreeCost*0.05</f>
        <v>233.35714285714289</v>
      </c>
      <c r="H71" s="757"/>
      <c r="I71" s="758">
        <f>SUM(F71:H71)+D71</f>
        <v>258.50993142857146</v>
      </c>
    </row>
    <row r="72" spans="1:9">
      <c r="A72" s="762" t="s">
        <v>92</v>
      </c>
      <c r="B72" s="863"/>
      <c r="C72" s="864"/>
      <c r="D72" s="756"/>
      <c r="E72" s="865"/>
      <c r="F72" s="756"/>
      <c r="G72" s="766"/>
      <c r="H72" s="766"/>
      <c r="I72" s="767"/>
    </row>
    <row r="73" spans="1:9">
      <c r="A73" s="768" t="s">
        <v>88</v>
      </c>
      <c r="B73" s="863">
        <f>+VAHerbTime</f>
        <v>1.1199999999999999</v>
      </c>
      <c r="C73" s="864">
        <f>+B73</f>
        <v>1.1199999999999999</v>
      </c>
      <c r="D73" s="756">
        <f>B73*LaborSkill</f>
        <v>16.799999999999997</v>
      </c>
      <c r="E73" s="865">
        <v>3</v>
      </c>
      <c r="F73" s="756">
        <f>IF(E73&gt;0,VLOOKUP(E73,EquipCost,15)*C73,0)</f>
        <v>13.613599999999998</v>
      </c>
      <c r="G73" s="766"/>
      <c r="H73" s="766"/>
      <c r="I73" s="767">
        <f>SUM(F73:H73)+D73</f>
        <v>30.413599999999995</v>
      </c>
    </row>
    <row r="74" spans="1:9">
      <c r="A74" s="769" t="s">
        <v>93</v>
      </c>
      <c r="B74" s="863"/>
      <c r="C74" s="864">
        <f>+C73</f>
        <v>1.1199999999999999</v>
      </c>
      <c r="D74" s="756"/>
      <c r="E74" s="865">
        <v>5</v>
      </c>
      <c r="F74" s="756">
        <f>IF(E74&gt;0,VLOOKUP(E74,EquipCost,15)*C74,0)</f>
        <v>4.9634666666666662</v>
      </c>
      <c r="G74" s="766">
        <f>+VAHerb2</f>
        <v>8.942903273809522</v>
      </c>
      <c r="H74" s="766"/>
      <c r="I74" s="767">
        <f>SUM(F74:H74)+D74</f>
        <v>13.906369940476189</v>
      </c>
    </row>
    <row r="75" spans="1:9">
      <c r="A75" s="762" t="s">
        <v>94</v>
      </c>
      <c r="B75" s="863"/>
      <c r="C75" s="864"/>
      <c r="D75" s="756"/>
      <c r="E75" s="865"/>
      <c r="F75" s="756"/>
      <c r="G75" s="766"/>
      <c r="H75" s="766"/>
      <c r="I75" s="767"/>
    </row>
    <row r="76" spans="1:9">
      <c r="A76" s="769" t="s">
        <v>95</v>
      </c>
      <c r="B76" s="863">
        <f>+VASprayTime2</f>
        <v>0.72</v>
      </c>
      <c r="C76" s="864">
        <f>+B76</f>
        <v>0.72</v>
      </c>
      <c r="D76" s="756">
        <f>B76*LaborSkill</f>
        <v>10.799999999999999</v>
      </c>
      <c r="E76" s="865">
        <v>2</v>
      </c>
      <c r="F76" s="756">
        <f>IF(E76&gt;0,VLOOKUP(E76,EquipCost,15)*C76,0)</f>
        <v>17.071200000000001</v>
      </c>
      <c r="G76" s="766">
        <f>+VASprayMat2</f>
        <v>165.10553273809521</v>
      </c>
      <c r="H76" s="766"/>
      <c r="I76" s="767">
        <f>SUM(F76:H76)+D76</f>
        <v>192.97673273809522</v>
      </c>
    </row>
    <row r="77" spans="1:9">
      <c r="A77" s="769" t="s">
        <v>96</v>
      </c>
      <c r="B77" s="863"/>
      <c r="C77" s="864">
        <f>+C76</f>
        <v>0.72</v>
      </c>
      <c r="D77" s="756"/>
      <c r="E77" s="865">
        <v>4</v>
      </c>
      <c r="F77" s="756">
        <f>IF(E77&gt;0,VLOOKUP(E77,EquipCost,15)*C77,0)</f>
        <v>7.4339999999999993</v>
      </c>
      <c r="G77" s="766"/>
      <c r="H77" s="766"/>
      <c r="I77" s="767">
        <f>SUM(F77:H77)+D77</f>
        <v>7.4339999999999993</v>
      </c>
    </row>
    <row r="78" spans="1:9">
      <c r="A78" s="752" t="s">
        <v>112</v>
      </c>
      <c r="B78" s="835"/>
      <c r="C78" s="846"/>
      <c r="D78" s="756"/>
      <c r="E78" s="836"/>
      <c r="F78" s="756"/>
      <c r="G78" s="761"/>
      <c r="H78" s="772"/>
      <c r="I78" s="758"/>
    </row>
    <row r="79" spans="1:9">
      <c r="A79" s="759" t="s">
        <v>88</v>
      </c>
      <c r="B79" s="863">
        <f>+VAFertTime2</f>
        <v>0.1</v>
      </c>
      <c r="C79" s="846">
        <v>0.3</v>
      </c>
      <c r="D79" s="756">
        <f>+B79*LaborNoSkill</f>
        <v>0.9</v>
      </c>
      <c r="E79" s="836">
        <v>3</v>
      </c>
      <c r="F79" s="756">
        <f>IF(E79&gt;0,VLOOKUP(E79,EquipCost,15)*C79,0)</f>
        <v>3.6464999999999996</v>
      </c>
      <c r="G79" s="757">
        <f>+VAFert2</f>
        <v>3.8892857142857147</v>
      </c>
      <c r="H79" s="757"/>
      <c r="I79" s="758">
        <f>SUM(F79:H79)+D79</f>
        <v>8.4357857142857142</v>
      </c>
    </row>
    <row r="80" spans="1:9">
      <c r="A80" s="769" t="s">
        <v>98</v>
      </c>
      <c r="B80" s="870"/>
      <c r="C80" s="846">
        <f>+C79</f>
        <v>0.3</v>
      </c>
      <c r="D80" s="756">
        <f>B80*LaborNoSkill</f>
        <v>0</v>
      </c>
      <c r="E80" s="836">
        <v>6</v>
      </c>
      <c r="F80" s="756">
        <f>IF(E80&gt;0,VLOOKUP(E80,EquipCost,15)*C80,0)</f>
        <v>0.94057142857142861</v>
      </c>
      <c r="G80" s="761"/>
      <c r="H80" s="757"/>
      <c r="I80" s="758">
        <f>SUM(F80:H80)+D80</f>
        <v>0.94057142857142861</v>
      </c>
    </row>
    <row r="81" spans="1:9">
      <c r="A81" s="752" t="s">
        <v>103</v>
      </c>
      <c r="B81" s="870"/>
      <c r="C81" s="870"/>
      <c r="D81" s="312"/>
      <c r="E81" s="721"/>
      <c r="F81" s="312"/>
      <c r="G81" s="312"/>
      <c r="H81" s="312"/>
      <c r="I81" s="770"/>
    </row>
    <row r="82" spans="1:9">
      <c r="A82" s="759" t="s">
        <v>88</v>
      </c>
      <c r="B82" s="835">
        <f>+VAMowTime2</f>
        <v>0.6428571428571429</v>
      </c>
      <c r="C82" s="846">
        <f>B82</f>
        <v>0.6428571428571429</v>
      </c>
      <c r="D82" s="756">
        <f>+B82*LaborNoSkill</f>
        <v>5.7857142857142865</v>
      </c>
      <c r="E82" s="836">
        <v>3</v>
      </c>
      <c r="F82" s="756">
        <f>IF(E82&gt;0,VLOOKUP(E82,EquipCost,15)*C82,0)</f>
        <v>7.8139285714285718</v>
      </c>
      <c r="G82" s="757"/>
      <c r="H82" s="757"/>
      <c r="I82" s="758">
        <f>SUM(F82:H82)+D82</f>
        <v>13.599642857142857</v>
      </c>
    </row>
    <row r="83" spans="1:9">
      <c r="A83" s="771" t="s">
        <v>104</v>
      </c>
      <c r="B83" s="870"/>
      <c r="C83" s="846">
        <f>B82</f>
        <v>0.6428571428571429</v>
      </c>
      <c r="D83" s="756"/>
      <c r="E83" s="836">
        <v>7</v>
      </c>
      <c r="F83" s="756">
        <f>IF(E83&gt;0,VLOOKUP(E83,EquipCost,15)*C83,0)</f>
        <v>2.9954081632653065</v>
      </c>
      <c r="G83" s="757"/>
      <c r="H83" s="757"/>
      <c r="I83" s="758">
        <f>SUM(F83:H83)+D83</f>
        <v>2.9954081632653065</v>
      </c>
    </row>
    <row r="84" spans="1:9">
      <c r="A84" s="752" t="s">
        <v>105</v>
      </c>
      <c r="B84" s="835"/>
      <c r="C84" s="846"/>
      <c r="D84" s="756"/>
      <c r="E84" s="836"/>
      <c r="F84" s="756"/>
      <c r="G84" s="757"/>
      <c r="H84" s="757"/>
      <c r="I84" s="758"/>
    </row>
    <row r="85" spans="1:9">
      <c r="A85" s="759" t="s">
        <v>88</v>
      </c>
      <c r="B85" s="835">
        <f>+VABaitTime2</f>
        <v>0.11764705882352941</v>
      </c>
      <c r="C85" s="846">
        <f>B85</f>
        <v>0.11764705882352941</v>
      </c>
      <c r="D85" s="756">
        <f>B85*LaborNoSkill</f>
        <v>1.0588235294117647</v>
      </c>
      <c r="E85" s="836">
        <v>3</v>
      </c>
      <c r="F85" s="756">
        <f>IF(E85&gt;0,VLOOKUP(E85,EquipCost,15)*C85,0)</f>
        <v>1.43</v>
      </c>
      <c r="G85" s="757"/>
      <c r="H85" s="757"/>
      <c r="I85" s="758">
        <f t="shared" ref="I85:I92" si="0">SUM(F85:H85)+D85</f>
        <v>2.4888235294117647</v>
      </c>
    </row>
    <row r="86" spans="1:9">
      <c r="A86" s="759" t="s">
        <v>98</v>
      </c>
      <c r="B86" s="835"/>
      <c r="C86" s="846">
        <v>0.2</v>
      </c>
      <c r="D86" s="756"/>
      <c r="E86" s="836">
        <v>6</v>
      </c>
      <c r="F86" s="756">
        <f>IF(E86&gt;0,VLOOKUP(E86,EquipCost,15)*C86,0)</f>
        <v>0.62704761904761908</v>
      </c>
      <c r="G86" s="757">
        <f>+VABait2</f>
        <v>5.5</v>
      </c>
      <c r="H86" s="772"/>
      <c r="I86" s="758">
        <f t="shared" si="0"/>
        <v>6.1270476190476195</v>
      </c>
    </row>
    <row r="87" spans="1:9">
      <c r="A87" s="759" t="s">
        <v>107</v>
      </c>
      <c r="B87" s="835">
        <v>2</v>
      </c>
      <c r="C87" s="846">
        <v>1</v>
      </c>
      <c r="D87" s="756">
        <f>B87*LaborNoSkill</f>
        <v>18</v>
      </c>
      <c r="E87" s="836">
        <v>1</v>
      </c>
      <c r="F87" s="756">
        <f>IF(E87&gt;0,VLOOKUP(E87,EquipCost,15)*C87,0)</f>
        <v>15.252000000000001</v>
      </c>
      <c r="G87" s="756">
        <f>+VAWild*VATree</f>
        <v>24.891428571428573</v>
      </c>
      <c r="H87" s="772"/>
      <c r="I87" s="758">
        <f t="shared" si="0"/>
        <v>58.143428571428572</v>
      </c>
    </row>
    <row r="88" spans="1:9">
      <c r="A88" s="771" t="s">
        <v>108</v>
      </c>
      <c r="B88" s="871"/>
      <c r="C88" s="871"/>
      <c r="D88" s="772"/>
      <c r="E88" s="873"/>
      <c r="F88" s="772"/>
      <c r="G88" s="772"/>
      <c r="H88" s="772"/>
      <c r="I88" s="767">
        <f t="shared" si="0"/>
        <v>0</v>
      </c>
    </row>
    <row r="89" spans="1:9">
      <c r="A89" s="771" t="s">
        <v>109</v>
      </c>
      <c r="B89" s="871"/>
      <c r="C89" s="871"/>
      <c r="D89" s="772"/>
      <c r="E89" s="873"/>
      <c r="F89" s="772"/>
      <c r="G89" s="772"/>
      <c r="H89" s="772"/>
      <c r="I89" s="767">
        <f t="shared" si="0"/>
        <v>0</v>
      </c>
    </row>
    <row r="90" spans="1:9">
      <c r="A90" s="759" t="s">
        <v>115</v>
      </c>
      <c r="B90" s="835">
        <v>0.5</v>
      </c>
      <c r="C90" s="835">
        <v>40</v>
      </c>
      <c r="D90" s="756">
        <f>B90*LaborNoSkill</f>
        <v>4.5</v>
      </c>
      <c r="E90" s="873">
        <v>17</v>
      </c>
      <c r="F90" s="756">
        <f>IF(E90&gt;0,VLOOKUP(E90,EquipCost,15)*C90,0)</f>
        <v>88</v>
      </c>
      <c r="G90" s="761"/>
      <c r="H90" s="772"/>
      <c r="I90" s="758">
        <f t="shared" si="0"/>
        <v>92.5</v>
      </c>
    </row>
    <row r="91" spans="1:9">
      <c r="A91" s="759" t="s">
        <v>71</v>
      </c>
      <c r="B91" s="835"/>
      <c r="C91" s="835"/>
      <c r="D91" s="756">
        <f>B91*LaborNoSkill</f>
        <v>0</v>
      </c>
      <c r="E91" s="836"/>
      <c r="F91" s="756">
        <f>IF(E91&gt;0,VLOOKUP(E91,EquipCost,15)*C91,0)</f>
        <v>0</v>
      </c>
      <c r="G91" s="757"/>
      <c r="H91" s="761">
        <f>+RETax</f>
        <v>35</v>
      </c>
      <c r="I91" s="758">
        <f t="shared" si="0"/>
        <v>35</v>
      </c>
    </row>
    <row r="92" spans="1:9" s="884" customFormat="1">
      <c r="A92" s="776" t="s">
        <v>72</v>
      </c>
      <c r="B92" s="882"/>
      <c r="C92" s="882"/>
      <c r="D92" s="780">
        <f>B92*LaborNoSkill</f>
        <v>0</v>
      </c>
      <c r="E92" s="883"/>
      <c r="F92" s="780">
        <f>IF(E92&gt;0,VLOOKUP(E92,EquipCost,15)*C92,0)</f>
        <v>0</v>
      </c>
      <c r="G92" s="781"/>
      <c r="H92" s="782">
        <f>+other</f>
        <v>12.5</v>
      </c>
      <c r="I92" s="783">
        <f t="shared" si="0"/>
        <v>12.5</v>
      </c>
    </row>
    <row r="93" spans="1:9" s="884" customFormat="1">
      <c r="A93" s="784"/>
      <c r="B93" s="879"/>
      <c r="C93" s="879"/>
      <c r="D93" s="788"/>
      <c r="E93" s="844"/>
      <c r="F93" s="788"/>
      <c r="G93" s="788"/>
      <c r="H93" s="788"/>
      <c r="I93" s="789"/>
    </row>
    <row r="94" spans="1:9">
      <c r="A94" s="790" t="s">
        <v>49</v>
      </c>
      <c r="B94" s="791">
        <f>SUM(B68:B93)</f>
        <v>86.237647058823526</v>
      </c>
      <c r="C94" s="791">
        <f>SUM(C68:C93)</f>
        <v>49.920504201680671</v>
      </c>
      <c r="D94" s="792">
        <f>SUM(D68:D93)</f>
        <v>787.1788235294116</v>
      </c>
      <c r="E94" s="845"/>
      <c r="F94" s="792">
        <f>SUM(F68:F93)</f>
        <v>210.11022530612246</v>
      </c>
      <c r="G94" s="792">
        <f>SUM(G68:G93)</f>
        <v>501.68629315476193</v>
      </c>
      <c r="H94" s="792">
        <f>SUM(H68:H93)</f>
        <v>47.5</v>
      </c>
      <c r="I94" s="794">
        <f>SUM(I68:I93)</f>
        <v>1546.4753419902963</v>
      </c>
    </row>
    <row r="95" spans="1:9" ht="20.25">
      <c r="A95" s="1348" t="s">
        <v>640</v>
      </c>
      <c r="B95" s="1348"/>
      <c r="C95" s="1348"/>
      <c r="D95" s="1348"/>
      <c r="E95" s="1348"/>
      <c r="F95" s="1348"/>
      <c r="G95" s="1348"/>
      <c r="H95" s="1348"/>
      <c r="I95" s="1348"/>
    </row>
    <row r="96" spans="1:9" s="827" customFormat="1" ht="11.25">
      <c r="A96" s="823" t="s">
        <v>46</v>
      </c>
      <c r="B96" s="824" t="s">
        <v>632</v>
      </c>
      <c r="C96" s="824" t="s">
        <v>631</v>
      </c>
      <c r="D96" s="825" t="s">
        <v>626</v>
      </c>
      <c r="E96" s="826" t="s">
        <v>627</v>
      </c>
      <c r="F96" s="825" t="s">
        <v>628</v>
      </c>
      <c r="G96" s="825" t="s">
        <v>629</v>
      </c>
      <c r="H96" s="825" t="s">
        <v>630</v>
      </c>
      <c r="I96" s="825" t="s">
        <v>271</v>
      </c>
    </row>
    <row r="97" spans="1:9">
      <c r="A97" s="885" t="s">
        <v>89</v>
      </c>
      <c r="B97" s="748">
        <f>+VATrain4</f>
        <v>20</v>
      </c>
      <c r="C97" s="748">
        <v>2</v>
      </c>
      <c r="D97" s="886">
        <f>B97*LaborNoSkill</f>
        <v>180</v>
      </c>
      <c r="E97" s="887">
        <v>1</v>
      </c>
      <c r="F97" s="886">
        <f>IF(E97&gt;0,VLOOKUP(E97,EquipCost,15)*C97,0)</f>
        <v>30.504000000000001</v>
      </c>
      <c r="G97" s="888">
        <f>+VATrainMat4</f>
        <v>20</v>
      </c>
      <c r="H97" s="888"/>
      <c r="I97" s="889">
        <f>SUM(F97:H97)+D97</f>
        <v>230.50400000000002</v>
      </c>
    </row>
    <row r="98" spans="1:9">
      <c r="A98" s="752" t="s">
        <v>90</v>
      </c>
      <c r="B98" s="846">
        <f>+VAPrune4</f>
        <v>5.1857142857142859</v>
      </c>
      <c r="C98" s="846">
        <f>+B98</f>
        <v>5.1857142857142859</v>
      </c>
      <c r="D98" s="756">
        <f>B98*LaborNoSkill</f>
        <v>46.671428571428571</v>
      </c>
      <c r="E98" s="836">
        <v>18</v>
      </c>
      <c r="F98" s="756">
        <f>IF(E98&gt;0,VLOOKUP(E98,EquipCost,15)*C98,0)</f>
        <v>19.425685714285716</v>
      </c>
      <c r="G98" s="757"/>
      <c r="H98" s="757"/>
      <c r="I98" s="758">
        <f>SUM(F98:H98)+D98</f>
        <v>66.097114285714284</v>
      </c>
    </row>
    <row r="99" spans="1:9">
      <c r="A99" s="759" t="s">
        <v>110</v>
      </c>
      <c r="B99" s="846">
        <v>0.5</v>
      </c>
      <c r="C99" s="846">
        <f>+B99</f>
        <v>0.5</v>
      </c>
      <c r="D99" s="756">
        <f>B99*LaborSkill</f>
        <v>7.5</v>
      </c>
      <c r="E99" s="836">
        <v>3</v>
      </c>
      <c r="F99" s="756">
        <f>IF(E99&gt;0,VLOOKUP(E99,EquipCost,15)*C99,0)</f>
        <v>6.0774999999999997</v>
      </c>
      <c r="G99" s="757"/>
      <c r="H99" s="757"/>
      <c r="I99" s="758">
        <f>SUM(F99:H99)+D99</f>
        <v>13.577500000000001</v>
      </c>
    </row>
    <row r="100" spans="1:9">
      <c r="A100" s="759" t="s">
        <v>111</v>
      </c>
      <c r="B100" s="835">
        <v>0.5</v>
      </c>
      <c r="C100" s="846">
        <f>B100</f>
        <v>0.5</v>
      </c>
      <c r="D100" s="756">
        <f>B100*LaborNoSkill</f>
        <v>4.5</v>
      </c>
      <c r="E100" s="836">
        <v>1</v>
      </c>
      <c r="F100" s="756">
        <f>IF(E100&gt;0,VLOOKUP(E100,EquipCost,15)*C100,0)</f>
        <v>7.6260000000000003</v>
      </c>
      <c r="G100" s="761">
        <f>+VATree*TreeCost*0.01</f>
        <v>46.671428571428578</v>
      </c>
      <c r="H100" s="757"/>
      <c r="I100" s="758">
        <f>SUM(F100:H100)+D100</f>
        <v>58.797428571428576</v>
      </c>
    </row>
    <row r="101" spans="1:9" s="884" customFormat="1">
      <c r="A101" s="762" t="s">
        <v>92</v>
      </c>
      <c r="B101" s="863"/>
      <c r="C101" s="864"/>
      <c r="D101" s="756"/>
      <c r="E101" s="865"/>
      <c r="F101" s="756"/>
      <c r="G101" s="766"/>
      <c r="H101" s="766"/>
      <c r="I101" s="767"/>
    </row>
    <row r="102" spans="1:9" s="884" customFormat="1">
      <c r="A102" s="768" t="s">
        <v>88</v>
      </c>
      <c r="B102" s="863">
        <f>+VAHerbTime</f>
        <v>1.1199999999999999</v>
      </c>
      <c r="C102" s="864">
        <f>+B102</f>
        <v>1.1199999999999999</v>
      </c>
      <c r="D102" s="756">
        <f>B102*LaborSkill</f>
        <v>16.799999999999997</v>
      </c>
      <c r="E102" s="865">
        <v>3</v>
      </c>
      <c r="F102" s="756">
        <f>IF(E102&gt;0,VLOOKUP(E102,EquipCost,15)*C102,0)</f>
        <v>13.613599999999998</v>
      </c>
      <c r="G102" s="766"/>
      <c r="H102" s="766"/>
      <c r="I102" s="767">
        <f>SUM(F102:H102)+D102</f>
        <v>30.413599999999995</v>
      </c>
    </row>
    <row r="103" spans="1:9">
      <c r="A103" s="769" t="s">
        <v>93</v>
      </c>
      <c r="B103" s="863"/>
      <c r="C103" s="864">
        <f>+B102</f>
        <v>1.1199999999999999</v>
      </c>
      <c r="D103" s="756"/>
      <c r="E103" s="865">
        <v>5</v>
      </c>
      <c r="F103" s="756">
        <f>IF(E103&gt;0,VLOOKUP(E103,EquipCost,15)*C103,0)</f>
        <v>4.9634666666666662</v>
      </c>
      <c r="G103" s="766">
        <f>+VAHerb3</f>
        <v>8.942903273809522</v>
      </c>
      <c r="H103" s="766"/>
      <c r="I103" s="767">
        <f>SUM(F103:H103)+D103</f>
        <v>13.906369940476189</v>
      </c>
    </row>
    <row r="104" spans="1:9">
      <c r="A104" s="762" t="s">
        <v>94</v>
      </c>
      <c r="B104" s="863"/>
      <c r="C104" s="864"/>
      <c r="D104" s="756"/>
      <c r="E104" s="865"/>
      <c r="F104" s="756"/>
      <c r="G104" s="766"/>
      <c r="H104" s="766"/>
      <c r="I104" s="767"/>
    </row>
    <row r="105" spans="1:9">
      <c r="A105" s="769" t="s">
        <v>95</v>
      </c>
      <c r="B105" s="863">
        <f>+VASprayTIme3</f>
        <v>2.88</v>
      </c>
      <c r="C105" s="864">
        <f>+B105</f>
        <v>2.88</v>
      </c>
      <c r="D105" s="756">
        <f>B105*LaborSkill</f>
        <v>43.199999999999996</v>
      </c>
      <c r="E105" s="865">
        <v>2</v>
      </c>
      <c r="F105" s="756">
        <f>IF(E105&gt;0,VLOOKUP(E105,EquipCost,15)*C105,0)</f>
        <v>68.284800000000004</v>
      </c>
      <c r="G105" s="766">
        <f>+VASprayMat3</f>
        <v>660.42213095238083</v>
      </c>
      <c r="H105" s="766"/>
      <c r="I105" s="767">
        <f>SUM(F105:H105)+D105</f>
        <v>771.90693095238089</v>
      </c>
    </row>
    <row r="106" spans="1:9">
      <c r="A106" s="769" t="s">
        <v>96</v>
      </c>
      <c r="B106" s="863"/>
      <c r="C106" s="864">
        <f>+C105</f>
        <v>2.88</v>
      </c>
      <c r="D106" s="756"/>
      <c r="E106" s="865">
        <v>4</v>
      </c>
      <c r="F106" s="756">
        <f>IF(E106&gt;0,VLOOKUP(E106,EquipCost,15)*C106,0)</f>
        <v>29.735999999999997</v>
      </c>
      <c r="G106" s="766"/>
      <c r="H106" s="766"/>
      <c r="I106" s="767">
        <f>SUM(F106:H106)+D106</f>
        <v>29.735999999999997</v>
      </c>
    </row>
    <row r="107" spans="1:9">
      <c r="A107" s="752" t="s">
        <v>112</v>
      </c>
      <c r="B107" s="835"/>
      <c r="C107" s="846"/>
      <c r="D107" s="756"/>
      <c r="E107" s="836"/>
      <c r="F107" s="756"/>
      <c r="G107" s="761"/>
      <c r="H107" s="772"/>
      <c r="I107" s="758"/>
    </row>
    <row r="108" spans="1:9">
      <c r="A108" s="769" t="s">
        <v>88</v>
      </c>
      <c r="B108" s="863">
        <f>+VAFertTime3</f>
        <v>0.1</v>
      </c>
      <c r="C108" s="864">
        <f>+B108</f>
        <v>0.1</v>
      </c>
      <c r="D108" s="756">
        <f>B108*LaborNoSkill</f>
        <v>0.9</v>
      </c>
      <c r="E108" s="865">
        <v>3</v>
      </c>
      <c r="F108" s="756">
        <f>IF(E108&gt;0,VLOOKUP(E108,EquipCost,15)*C108,0)</f>
        <v>1.2155</v>
      </c>
      <c r="G108" s="756">
        <f>+VAFert3</f>
        <v>7.7785714285714294</v>
      </c>
      <c r="H108" s="766"/>
      <c r="I108" s="767">
        <f>SUM(F108:H108)+D108</f>
        <v>9.8940714285714293</v>
      </c>
    </row>
    <row r="109" spans="1:9">
      <c r="A109" s="769" t="s">
        <v>98</v>
      </c>
      <c r="B109" s="863"/>
      <c r="C109" s="864">
        <f>+C108</f>
        <v>0.1</v>
      </c>
      <c r="D109" s="756"/>
      <c r="E109" s="865">
        <v>6</v>
      </c>
      <c r="F109" s="756">
        <f>IF(E109&gt;0,VLOOKUP(E109,EquipCost,15)*C109,0)</f>
        <v>0.31352380952380954</v>
      </c>
      <c r="G109" s="766"/>
      <c r="H109" s="766"/>
      <c r="I109" s="767">
        <f>SUM(F109:H109)+D109</f>
        <v>0.31352380952380954</v>
      </c>
    </row>
    <row r="110" spans="1:9">
      <c r="A110" s="769" t="s">
        <v>114</v>
      </c>
      <c r="B110" s="835"/>
      <c r="C110" s="846"/>
      <c r="D110" s="756"/>
      <c r="E110" s="836"/>
      <c r="F110" s="756"/>
      <c r="G110" s="761">
        <v>0</v>
      </c>
      <c r="H110" s="757"/>
      <c r="I110" s="758">
        <f>SUM(F110:H110)+D110</f>
        <v>0</v>
      </c>
    </row>
    <row r="111" spans="1:9">
      <c r="A111" s="752" t="s">
        <v>103</v>
      </c>
      <c r="B111" s="870"/>
      <c r="C111" s="870"/>
      <c r="D111" s="312"/>
      <c r="E111" s="721"/>
      <c r="F111" s="312"/>
      <c r="G111" s="312"/>
      <c r="H111" s="312"/>
      <c r="I111" s="770"/>
    </row>
    <row r="112" spans="1:9">
      <c r="A112" s="759" t="s">
        <v>88</v>
      </c>
      <c r="B112" s="835">
        <f>+VAMowTime3</f>
        <v>0.96428571428571441</v>
      </c>
      <c r="C112" s="846">
        <f>+B112</f>
        <v>0.96428571428571441</v>
      </c>
      <c r="D112" s="756">
        <f>B112*LaborNoSkill</f>
        <v>8.6785714285714306</v>
      </c>
      <c r="E112" s="836">
        <v>3</v>
      </c>
      <c r="F112" s="756">
        <f>IF(E112&gt;0,VLOOKUP(E112,EquipCost,15)*C112,0)</f>
        <v>11.720892857142857</v>
      </c>
      <c r="G112" s="757"/>
      <c r="H112" s="757"/>
      <c r="I112" s="758">
        <f>SUM(F112:H112)+D112</f>
        <v>20.399464285714288</v>
      </c>
    </row>
    <row r="113" spans="1:9">
      <c r="A113" s="771" t="s">
        <v>104</v>
      </c>
      <c r="B113" s="835"/>
      <c r="C113" s="846">
        <f>+C112</f>
        <v>0.96428571428571441</v>
      </c>
      <c r="D113" s="756"/>
      <c r="E113" s="836">
        <v>7</v>
      </c>
      <c r="F113" s="756">
        <f>IF(E113&gt;0,VLOOKUP(E113,EquipCost,15)*C113,0)</f>
        <v>4.4931122448979597</v>
      </c>
      <c r="G113" s="757"/>
      <c r="H113" s="757"/>
      <c r="I113" s="758">
        <f>SUM(F113:H113)+D113</f>
        <v>4.4931122448979597</v>
      </c>
    </row>
    <row r="114" spans="1:9">
      <c r="A114" s="752" t="s">
        <v>105</v>
      </c>
      <c r="B114" s="835"/>
      <c r="C114" s="846"/>
      <c r="D114" s="756"/>
      <c r="E114" s="836"/>
      <c r="F114" s="756"/>
      <c r="G114" s="757"/>
      <c r="H114" s="757"/>
      <c r="I114" s="758"/>
    </row>
    <row r="115" spans="1:9">
      <c r="A115" s="759" t="s">
        <v>88</v>
      </c>
      <c r="B115" s="835">
        <f>+VABaitTime3</f>
        <v>0.11764705882352941</v>
      </c>
      <c r="C115" s="846">
        <f>+B115</f>
        <v>0.11764705882352941</v>
      </c>
      <c r="D115" s="756">
        <f>B115*LaborNoSkill</f>
        <v>1.0588235294117647</v>
      </c>
      <c r="E115" s="836">
        <v>3</v>
      </c>
      <c r="F115" s="756">
        <f>IF(E115&gt;0,VLOOKUP(E115,EquipCost,15)*C115,0)</f>
        <v>1.43</v>
      </c>
      <c r="G115" s="757"/>
      <c r="H115" s="757"/>
      <c r="I115" s="758">
        <f t="shared" ref="I115:I122" si="1">SUM(F115:H115)+D115</f>
        <v>2.4888235294117647</v>
      </c>
    </row>
    <row r="116" spans="1:9">
      <c r="A116" s="759" t="s">
        <v>98</v>
      </c>
      <c r="B116" s="835"/>
      <c r="C116" s="846">
        <f>+C115</f>
        <v>0.11764705882352941</v>
      </c>
      <c r="D116" s="756"/>
      <c r="E116" s="836">
        <v>6</v>
      </c>
      <c r="F116" s="756">
        <f>IF(E116&gt;0,VLOOKUP(E116,EquipCost,15)*C116,0)</f>
        <v>0.36885154061624653</v>
      </c>
      <c r="G116" s="757">
        <f>+VABait3</f>
        <v>5.5</v>
      </c>
      <c r="H116" s="772"/>
      <c r="I116" s="758">
        <f t="shared" si="1"/>
        <v>5.8688515406162463</v>
      </c>
    </row>
    <row r="117" spans="1:9">
      <c r="A117" s="759" t="s">
        <v>107</v>
      </c>
      <c r="B117" s="835">
        <v>2</v>
      </c>
      <c r="C117" s="846">
        <v>1</v>
      </c>
      <c r="D117" s="756">
        <f>B117*LaborNoSkill</f>
        <v>18</v>
      </c>
      <c r="E117" s="836">
        <v>1</v>
      </c>
      <c r="F117" s="756">
        <f>IF(E117&gt;0,VLOOKUP(E117,EquipCost,15)*C117,0)</f>
        <v>15.252000000000001</v>
      </c>
      <c r="G117" s="756">
        <f>+VAWild*VATree</f>
        <v>24.891428571428573</v>
      </c>
      <c r="H117" s="772"/>
      <c r="I117" s="758">
        <f t="shared" si="1"/>
        <v>58.143428571428572</v>
      </c>
    </row>
    <row r="118" spans="1:9">
      <c r="A118" s="771" t="s">
        <v>108</v>
      </c>
      <c r="B118" s="871"/>
      <c r="C118" s="871"/>
      <c r="D118" s="772"/>
      <c r="E118" s="873"/>
      <c r="F118" s="772"/>
      <c r="G118" s="772"/>
      <c r="H118" s="772"/>
      <c r="I118" s="767">
        <f t="shared" si="1"/>
        <v>0</v>
      </c>
    </row>
    <row r="119" spans="1:9">
      <c r="A119" s="771" t="s">
        <v>109</v>
      </c>
      <c r="B119" s="871"/>
      <c r="C119" s="871"/>
      <c r="D119" s="772"/>
      <c r="E119" s="873"/>
      <c r="F119" s="772"/>
      <c r="G119" s="772"/>
      <c r="H119" s="772"/>
      <c r="I119" s="767">
        <f t="shared" si="1"/>
        <v>0</v>
      </c>
    </row>
    <row r="120" spans="1:9">
      <c r="A120" s="759" t="s">
        <v>115</v>
      </c>
      <c r="B120" s="835">
        <v>0.5</v>
      </c>
      <c r="C120" s="835">
        <v>40</v>
      </c>
      <c r="D120" s="756">
        <f>B120*LaborNoSkill</f>
        <v>4.5</v>
      </c>
      <c r="E120" s="873">
        <v>17</v>
      </c>
      <c r="F120" s="756">
        <f>IF(E120&gt;0,VLOOKUP(E120,EquipCost,15)*C120,0)</f>
        <v>88</v>
      </c>
      <c r="G120" s="761"/>
      <c r="H120" s="772"/>
      <c r="I120" s="758">
        <f t="shared" si="1"/>
        <v>92.5</v>
      </c>
    </row>
    <row r="121" spans="1:9">
      <c r="A121" s="759" t="s">
        <v>71</v>
      </c>
      <c r="B121" s="835"/>
      <c r="C121" s="835"/>
      <c r="D121" s="756">
        <f>B121*LaborNoSkill</f>
        <v>0</v>
      </c>
      <c r="E121" s="836"/>
      <c r="F121" s="756">
        <f>IF(E121&gt;0,VLOOKUP(E121,EquipCost,15)*C121,0)</f>
        <v>0</v>
      </c>
      <c r="G121" s="757"/>
      <c r="H121" s="761">
        <f>+RETax</f>
        <v>35</v>
      </c>
      <c r="I121" s="758">
        <f t="shared" si="1"/>
        <v>35</v>
      </c>
    </row>
    <row r="122" spans="1:9" s="884" customFormat="1">
      <c r="A122" s="776" t="s">
        <v>72</v>
      </c>
      <c r="B122" s="882"/>
      <c r="C122" s="882"/>
      <c r="D122" s="780">
        <f>B122*LaborNoSkill</f>
        <v>0</v>
      </c>
      <c r="E122" s="883"/>
      <c r="F122" s="780">
        <f>IF(E122&gt;0,VLOOKUP(E122,EquipCost,15)*C122,0)</f>
        <v>0</v>
      </c>
      <c r="G122" s="781"/>
      <c r="H122" s="782">
        <f>+other</f>
        <v>12.5</v>
      </c>
      <c r="I122" s="783">
        <f t="shared" si="1"/>
        <v>12.5</v>
      </c>
    </row>
    <row r="123" spans="1:9" s="884" customFormat="1">
      <c r="A123" s="784"/>
      <c r="B123" s="879"/>
      <c r="C123" s="879"/>
      <c r="D123" s="788"/>
      <c r="E123" s="844"/>
      <c r="F123" s="788"/>
      <c r="G123" s="788"/>
      <c r="H123" s="788"/>
      <c r="I123" s="789"/>
    </row>
    <row r="124" spans="1:9">
      <c r="A124" s="790" t="s">
        <v>49</v>
      </c>
      <c r="B124" s="791">
        <f>SUM(B97:B123)</f>
        <v>33.867647058823536</v>
      </c>
      <c r="C124" s="791">
        <f>SUM(C97:C123)</f>
        <v>59.549579831932775</v>
      </c>
      <c r="D124" s="792">
        <f>SUM(D97:D123)</f>
        <v>331.80882352941177</v>
      </c>
      <c r="E124" s="845"/>
      <c r="F124" s="792">
        <f>SUM(F97:F123)</f>
        <v>303.02493283313328</v>
      </c>
      <c r="G124" s="792">
        <f>SUM(G97:G123)</f>
        <v>774.206462797619</v>
      </c>
      <c r="H124" s="792">
        <f>SUM(H97:H123)</f>
        <v>47.5</v>
      </c>
      <c r="I124" s="794">
        <f>SUM(I97:I123)</f>
        <v>1456.5402191601638</v>
      </c>
    </row>
    <row r="125" spans="1:9" ht="20.25">
      <c r="A125" s="1348" t="s">
        <v>636</v>
      </c>
      <c r="B125" s="1348"/>
      <c r="C125" s="1348"/>
      <c r="D125" s="1348"/>
      <c r="E125" s="1348"/>
      <c r="F125" s="1348"/>
      <c r="G125" s="1348"/>
      <c r="H125" s="1348"/>
      <c r="I125" s="1348"/>
    </row>
    <row r="126" spans="1:9" s="827" customFormat="1" ht="11.25">
      <c r="A126" s="823" t="s">
        <v>46</v>
      </c>
      <c r="B126" s="824" t="s">
        <v>632</v>
      </c>
      <c r="C126" s="824" t="s">
        <v>631</v>
      </c>
      <c r="D126" s="825" t="s">
        <v>626</v>
      </c>
      <c r="E126" s="826" t="s">
        <v>627</v>
      </c>
      <c r="F126" s="825" t="s">
        <v>628</v>
      </c>
      <c r="G126" s="825" t="s">
        <v>629</v>
      </c>
      <c r="H126" s="825" t="s">
        <v>630</v>
      </c>
      <c r="I126" s="825" t="s">
        <v>271</v>
      </c>
    </row>
    <row r="127" spans="1:9" s="884" customFormat="1">
      <c r="A127" s="747"/>
      <c r="B127" s="748"/>
      <c r="C127" s="748"/>
      <c r="D127" s="749"/>
      <c r="E127" s="750"/>
      <c r="F127" s="749"/>
      <c r="G127" s="749"/>
      <c r="H127" s="749"/>
      <c r="I127" s="751"/>
    </row>
    <row r="128" spans="1:9">
      <c r="A128" s="752" t="s">
        <v>89</v>
      </c>
      <c r="B128" s="846">
        <f>+VATrain4</f>
        <v>20</v>
      </c>
      <c r="C128" s="846">
        <v>2</v>
      </c>
      <c r="D128" s="756">
        <f>B128*LaborNoSkill</f>
        <v>180</v>
      </c>
      <c r="E128" s="836">
        <v>1</v>
      </c>
      <c r="F128" s="756">
        <f>IF(E128&gt;0,VLOOKUP(E128,EquipCost,15)*C128,0)</f>
        <v>30.504000000000001</v>
      </c>
      <c r="G128" s="757">
        <f>+VATrainMat4</f>
        <v>20</v>
      </c>
      <c r="H128" s="757"/>
      <c r="I128" s="758">
        <f>SUM(F128:H128)+D128</f>
        <v>230.50400000000002</v>
      </c>
    </row>
    <row r="129" spans="1:9">
      <c r="A129" s="752" t="s">
        <v>90</v>
      </c>
      <c r="B129" s="846">
        <f>+VAPrune4</f>
        <v>5.1857142857142859</v>
      </c>
      <c r="C129" s="846">
        <f>+B129</f>
        <v>5.1857142857142859</v>
      </c>
      <c r="D129" s="756">
        <f>B129*LaborNoSkill</f>
        <v>46.671428571428571</v>
      </c>
      <c r="E129" s="836">
        <v>18</v>
      </c>
      <c r="F129" s="756">
        <f>IF(E129&gt;0,VLOOKUP(E129,EquipCost,15)*C129,0)</f>
        <v>19.425685714285716</v>
      </c>
      <c r="G129" s="757"/>
      <c r="H129" s="757"/>
      <c r="I129" s="758">
        <f>SUM(F129:H129)+D129</f>
        <v>66.097114285714284</v>
      </c>
    </row>
    <row r="130" spans="1:9">
      <c r="A130" s="759" t="s">
        <v>110</v>
      </c>
      <c r="B130" s="846">
        <v>0.5</v>
      </c>
      <c r="C130" s="846">
        <f>+B130</f>
        <v>0.5</v>
      </c>
      <c r="D130" s="756">
        <f>B130*LaborSkill</f>
        <v>7.5</v>
      </c>
      <c r="E130" s="836">
        <v>3</v>
      </c>
      <c r="F130" s="756">
        <f>IF(E130&gt;0,VLOOKUP(E130,EquipCost,15)*C130,0)</f>
        <v>6.0774999999999997</v>
      </c>
      <c r="G130" s="757"/>
      <c r="H130" s="757"/>
      <c r="I130" s="758">
        <f>SUM(F130:H130)+D130</f>
        <v>13.577500000000001</v>
      </c>
    </row>
    <row r="131" spans="1:9">
      <c r="A131" s="759" t="s">
        <v>111</v>
      </c>
      <c r="B131" s="835">
        <v>0.5</v>
      </c>
      <c r="C131" s="846">
        <f>B131</f>
        <v>0.5</v>
      </c>
      <c r="D131" s="756">
        <f>B131*LaborNoSkill</f>
        <v>4.5</v>
      </c>
      <c r="E131" s="836">
        <v>1</v>
      </c>
      <c r="F131" s="756">
        <f>IF(E131&gt;0,VLOOKUP(E131,EquipCost,15)*C131,0)</f>
        <v>7.6260000000000003</v>
      </c>
      <c r="G131" s="761">
        <f>+VATree*TreeCost*0.01</f>
        <v>46.671428571428578</v>
      </c>
      <c r="H131" s="757"/>
      <c r="I131" s="758">
        <f>SUM(F131:H131)+D131</f>
        <v>58.797428571428576</v>
      </c>
    </row>
    <row r="132" spans="1:9">
      <c r="A132" s="762" t="s">
        <v>92</v>
      </c>
      <c r="B132" s="863"/>
      <c r="C132" s="864"/>
      <c r="D132" s="756"/>
      <c r="E132" s="865"/>
      <c r="F132" s="756"/>
      <c r="G132" s="766"/>
      <c r="H132" s="766"/>
      <c r="I132" s="767"/>
    </row>
    <row r="133" spans="1:9">
      <c r="A133" s="768" t="s">
        <v>88</v>
      </c>
      <c r="B133" s="863">
        <f>+VAHerbTime</f>
        <v>1.1199999999999999</v>
      </c>
      <c r="C133" s="864">
        <f>+B133</f>
        <v>1.1199999999999999</v>
      </c>
      <c r="D133" s="756">
        <f>B133*LaborSkill</f>
        <v>16.799999999999997</v>
      </c>
      <c r="E133" s="865">
        <v>3</v>
      </c>
      <c r="F133" s="756">
        <f>IF(E133&gt;0,VLOOKUP(E133,EquipCost,15)*C133,0)</f>
        <v>13.613599999999998</v>
      </c>
      <c r="G133" s="766"/>
      <c r="H133" s="766"/>
      <c r="I133" s="767">
        <f>SUM(F133:H133)+D133</f>
        <v>30.413599999999995</v>
      </c>
    </row>
    <row r="134" spans="1:9">
      <c r="A134" s="769" t="s">
        <v>93</v>
      </c>
      <c r="B134" s="863"/>
      <c r="C134" s="864">
        <f>+C133</f>
        <v>1.1199999999999999</v>
      </c>
      <c r="D134" s="756"/>
      <c r="E134" s="865">
        <v>5</v>
      </c>
      <c r="F134" s="756">
        <f>IF(E134&gt;0,VLOOKUP(E134,EquipCost,15)*C134,0)</f>
        <v>4.9634666666666662</v>
      </c>
      <c r="G134" s="766">
        <f>+VAHerb4</f>
        <v>12.707979910714284</v>
      </c>
      <c r="H134" s="766"/>
      <c r="I134" s="767">
        <f>SUM(F134:H134)+D134</f>
        <v>17.671446577380951</v>
      </c>
    </row>
    <row r="135" spans="1:9">
      <c r="A135" s="762" t="s">
        <v>94</v>
      </c>
      <c r="B135" s="863"/>
      <c r="C135" s="864"/>
      <c r="D135" s="756"/>
      <c r="E135" s="865"/>
      <c r="F135" s="756"/>
      <c r="G135" s="766"/>
      <c r="H135" s="766"/>
      <c r="I135" s="767"/>
    </row>
    <row r="136" spans="1:9">
      <c r="A136" s="769" t="s">
        <v>95</v>
      </c>
      <c r="B136" s="863">
        <f>+VASprayTime4</f>
        <v>3.6</v>
      </c>
      <c r="C136" s="864">
        <f>+B136</f>
        <v>3.6</v>
      </c>
      <c r="D136" s="756">
        <f>B136*LaborSkill</f>
        <v>54</v>
      </c>
      <c r="E136" s="865">
        <v>2</v>
      </c>
      <c r="F136" s="756">
        <f>IF(E136&gt;0,VLOOKUP(E136,EquipCost,15)*C136,0)</f>
        <v>85.356000000000009</v>
      </c>
      <c r="G136" s="766">
        <f>+VASprayMat4</f>
        <v>825.52766369047606</v>
      </c>
      <c r="H136" s="766"/>
      <c r="I136" s="767">
        <f>SUM(F136:H136)+D136</f>
        <v>964.88366369047606</v>
      </c>
    </row>
    <row r="137" spans="1:9">
      <c r="A137" s="769" t="s">
        <v>96</v>
      </c>
      <c r="B137" s="863"/>
      <c r="C137" s="864">
        <f>+C136</f>
        <v>3.6</v>
      </c>
      <c r="D137" s="756"/>
      <c r="E137" s="865">
        <v>4</v>
      </c>
      <c r="F137" s="756">
        <f>IF(E137&gt;0,VLOOKUP(E137,EquipCost,15)*C137,0)</f>
        <v>37.17</v>
      </c>
      <c r="G137" s="766"/>
      <c r="H137" s="766"/>
      <c r="I137" s="767">
        <f>SUM(F137:H137)+D137</f>
        <v>37.17</v>
      </c>
    </row>
    <row r="138" spans="1:9">
      <c r="A138" s="752" t="s">
        <v>103</v>
      </c>
      <c r="B138" s="870"/>
      <c r="C138" s="870"/>
      <c r="D138" s="312"/>
      <c r="E138" s="721"/>
      <c r="F138" s="312"/>
      <c r="G138" s="312"/>
      <c r="H138" s="312"/>
      <c r="I138" s="770"/>
    </row>
    <row r="139" spans="1:9">
      <c r="A139" s="759" t="s">
        <v>88</v>
      </c>
      <c r="B139" s="835">
        <f>+VAMowTime4</f>
        <v>0.96428571428571441</v>
      </c>
      <c r="C139" s="846">
        <f>+B139</f>
        <v>0.96428571428571441</v>
      </c>
      <c r="D139" s="756">
        <f>B139*LaborNoSkill</f>
        <v>8.6785714285714306</v>
      </c>
      <c r="E139" s="836">
        <v>3</v>
      </c>
      <c r="F139" s="756">
        <f>IF(E139&gt;0,VLOOKUP(E139,EquipCost,15)*C139,0)</f>
        <v>11.720892857142857</v>
      </c>
      <c r="G139" s="757"/>
      <c r="H139" s="757"/>
      <c r="I139" s="758">
        <f>SUM(F139:H139)+D139</f>
        <v>20.399464285714288</v>
      </c>
    </row>
    <row r="140" spans="1:9">
      <c r="A140" s="771" t="s">
        <v>104</v>
      </c>
      <c r="B140" s="835"/>
      <c r="C140" s="846">
        <f>+C139</f>
        <v>0.96428571428571441</v>
      </c>
      <c r="D140" s="756"/>
      <c r="E140" s="836">
        <v>7</v>
      </c>
      <c r="F140" s="756">
        <f>IF(E140&gt;0,VLOOKUP(E140,EquipCost,15)*C140,0)</f>
        <v>4.4931122448979597</v>
      </c>
      <c r="G140" s="757"/>
      <c r="H140" s="757"/>
      <c r="I140" s="758">
        <f>SUM(F140:H140)+D140</f>
        <v>4.4931122448979597</v>
      </c>
    </row>
    <row r="141" spans="1:9">
      <c r="A141" s="752" t="s">
        <v>105</v>
      </c>
      <c r="B141" s="835"/>
      <c r="C141" s="846"/>
      <c r="D141" s="756"/>
      <c r="E141" s="836"/>
      <c r="F141" s="756"/>
      <c r="G141" s="757"/>
      <c r="H141" s="757"/>
      <c r="I141" s="758"/>
    </row>
    <row r="142" spans="1:9">
      <c r="A142" s="759" t="s">
        <v>88</v>
      </c>
      <c r="B142" s="835">
        <f>+VABaitTime4</f>
        <v>0.11764705882352941</v>
      </c>
      <c r="C142" s="846">
        <f>+B142</f>
        <v>0.11764705882352941</v>
      </c>
      <c r="D142" s="756">
        <f>B142*LaborNoSkill</f>
        <v>1.0588235294117647</v>
      </c>
      <c r="E142" s="836">
        <v>3</v>
      </c>
      <c r="F142" s="756">
        <f>IF(E142&gt;0,VLOOKUP(E142,EquipCost,15)*C142,0)</f>
        <v>1.43</v>
      </c>
      <c r="G142" s="757"/>
      <c r="H142" s="757"/>
      <c r="I142" s="758">
        <f>SUM(F142:H142)+D142</f>
        <v>2.4888235294117647</v>
      </c>
    </row>
    <row r="143" spans="1:9">
      <c r="A143" s="759" t="s">
        <v>98</v>
      </c>
      <c r="B143" s="835"/>
      <c r="C143" s="846">
        <f>+C142</f>
        <v>0.11764705882352941</v>
      </c>
      <c r="D143" s="756"/>
      <c r="E143" s="836">
        <v>6</v>
      </c>
      <c r="F143" s="756">
        <f>IF(E143&gt;0,VLOOKUP(E143,EquipCost,15)*C143,0)</f>
        <v>0.36885154061624653</v>
      </c>
      <c r="G143" s="757">
        <f>+VABait4</f>
        <v>5.5</v>
      </c>
      <c r="H143" s="772"/>
      <c r="I143" s="758">
        <f>SUM(F143:H143)+D143</f>
        <v>5.8688515406162463</v>
      </c>
    </row>
    <row r="144" spans="1:9">
      <c r="A144" s="759" t="s">
        <v>107</v>
      </c>
      <c r="B144" s="835">
        <v>2</v>
      </c>
      <c r="C144" s="846">
        <v>1</v>
      </c>
      <c r="D144" s="756">
        <f>B144*LaborNoSkill</f>
        <v>18</v>
      </c>
      <c r="E144" s="836">
        <v>1</v>
      </c>
      <c r="F144" s="756">
        <f>IF(E144&gt;0,VLOOKUP(E144,EquipCost,15)*C144,0)</f>
        <v>15.252000000000001</v>
      </c>
      <c r="G144" s="756">
        <f>+VAWild*VATree</f>
        <v>24.891428571428573</v>
      </c>
      <c r="H144" s="772"/>
      <c r="I144" s="758">
        <f>SUM(F144:H144)+D144</f>
        <v>58.143428571428572</v>
      </c>
    </row>
    <row r="145" spans="1:9">
      <c r="A145" s="752" t="s">
        <v>112</v>
      </c>
      <c r="B145" s="835"/>
      <c r="C145" s="846"/>
      <c r="D145" s="756"/>
      <c r="E145" s="836"/>
      <c r="F145" s="756"/>
      <c r="G145" s="761"/>
      <c r="H145" s="772"/>
      <c r="I145" s="758"/>
    </row>
    <row r="146" spans="1:9">
      <c r="A146" s="769" t="s">
        <v>88</v>
      </c>
      <c r="B146" s="863">
        <f>+VAFertTime4</f>
        <v>0.1</v>
      </c>
      <c r="C146" s="864">
        <f>+B146</f>
        <v>0.1</v>
      </c>
      <c r="D146" s="756">
        <f>B146*LaborNoSkill</f>
        <v>0.9</v>
      </c>
      <c r="E146" s="865">
        <v>3</v>
      </c>
      <c r="F146" s="756">
        <f>IF(E146&gt;0,VLOOKUP(E146,EquipCost,15)*C146,0)</f>
        <v>1.2155</v>
      </c>
      <c r="G146" s="756">
        <f>+VAFert4</f>
        <v>14.973750000000003</v>
      </c>
      <c r="H146" s="766"/>
      <c r="I146" s="767">
        <f>SUM(F146:H146)+D146</f>
        <v>17.08925</v>
      </c>
    </row>
    <row r="147" spans="1:9">
      <c r="A147" s="769" t="s">
        <v>98</v>
      </c>
      <c r="B147" s="863"/>
      <c r="C147" s="864">
        <f>+C146</f>
        <v>0.1</v>
      </c>
      <c r="D147" s="756"/>
      <c r="E147" s="865">
        <v>6</v>
      </c>
      <c r="F147" s="756">
        <f>IF(E147&gt;0,VLOOKUP(E147,EquipCost,15)*C147,0)</f>
        <v>0.31352380952380954</v>
      </c>
      <c r="G147" s="766"/>
      <c r="H147" s="766"/>
      <c r="I147" s="767">
        <f>SUM(F147:H147)+D147</f>
        <v>0.31352380952380954</v>
      </c>
    </row>
    <row r="148" spans="1:9">
      <c r="A148" s="769" t="s">
        <v>116</v>
      </c>
      <c r="B148" s="835"/>
      <c r="C148" s="846"/>
      <c r="D148" s="756"/>
      <c r="E148" s="836"/>
      <c r="F148" s="756"/>
      <c r="G148" s="761">
        <f>+Lime</f>
        <v>35</v>
      </c>
      <c r="H148" s="757"/>
      <c r="I148" s="758">
        <f t="shared" ref="I148:I153" si="2">SUM(F148:H148)+D148</f>
        <v>35</v>
      </c>
    </row>
    <row r="149" spans="1:9">
      <c r="A149" s="771" t="s">
        <v>108</v>
      </c>
      <c r="B149" s="871"/>
      <c r="C149" s="871"/>
      <c r="D149" s="772"/>
      <c r="E149" s="873"/>
      <c r="F149" s="772"/>
      <c r="G149" s="772"/>
      <c r="H149" s="772">
        <v>15</v>
      </c>
      <c r="I149" s="767">
        <f>SUM(F149:H149)+D149</f>
        <v>15</v>
      </c>
    </row>
    <row r="150" spans="1:9">
      <c r="A150" s="771" t="s">
        <v>109</v>
      </c>
      <c r="B150" s="871"/>
      <c r="C150" s="871"/>
      <c r="D150" s="772"/>
      <c r="E150" s="873"/>
      <c r="F150" s="772"/>
      <c r="G150" s="772"/>
      <c r="H150" s="772">
        <v>35</v>
      </c>
      <c r="I150" s="767">
        <f>SUM(F150:H150)+D150</f>
        <v>35</v>
      </c>
    </row>
    <row r="151" spans="1:9">
      <c r="A151" s="759" t="s">
        <v>115</v>
      </c>
      <c r="B151" s="835">
        <v>0.5</v>
      </c>
      <c r="C151" s="835">
        <v>40</v>
      </c>
      <c r="D151" s="756">
        <f>B151*LaborNoSkill</f>
        <v>4.5</v>
      </c>
      <c r="E151" s="873">
        <v>17</v>
      </c>
      <c r="F151" s="756">
        <f>IF(E151&gt;0,VLOOKUP(E151,EquipCost,15)*C151,0)</f>
        <v>88</v>
      </c>
      <c r="G151" s="761"/>
      <c r="H151" s="772"/>
      <c r="I151" s="758">
        <f t="shared" si="2"/>
        <v>92.5</v>
      </c>
    </row>
    <row r="152" spans="1:9">
      <c r="A152" s="759" t="s">
        <v>71</v>
      </c>
      <c r="B152" s="835"/>
      <c r="C152" s="835"/>
      <c r="D152" s="756">
        <f>B152*LaborNoSkill</f>
        <v>0</v>
      </c>
      <c r="E152" s="836"/>
      <c r="F152" s="756">
        <f>IF(E152&gt;0,VLOOKUP(E152,EquipCost,15)*C152,0)</f>
        <v>0</v>
      </c>
      <c r="G152" s="757"/>
      <c r="H152" s="761">
        <f>+RETax</f>
        <v>35</v>
      </c>
      <c r="I152" s="758">
        <f t="shared" si="2"/>
        <v>35</v>
      </c>
    </row>
    <row r="153" spans="1:9" s="884" customFormat="1">
      <c r="A153" s="776" t="s">
        <v>72</v>
      </c>
      <c r="B153" s="882"/>
      <c r="C153" s="882"/>
      <c r="D153" s="780">
        <f>B153*LaborNoSkill</f>
        <v>0</v>
      </c>
      <c r="E153" s="883"/>
      <c r="F153" s="780">
        <f>IF(E153&gt;0,VLOOKUP(E153,EquipCost,15)*C153,0)</f>
        <v>0</v>
      </c>
      <c r="G153" s="781"/>
      <c r="H153" s="782">
        <f>+other</f>
        <v>12.5</v>
      </c>
      <c r="I153" s="783">
        <f t="shared" si="2"/>
        <v>12.5</v>
      </c>
    </row>
    <row r="154" spans="1:9" s="884" customFormat="1">
      <c r="A154" s="784"/>
      <c r="B154" s="879"/>
      <c r="C154" s="879"/>
      <c r="D154" s="788"/>
      <c r="E154" s="844"/>
      <c r="F154" s="788"/>
      <c r="G154" s="788"/>
      <c r="H154" s="788"/>
      <c r="I154" s="789"/>
    </row>
    <row r="155" spans="1:9">
      <c r="A155" s="790" t="s">
        <v>49</v>
      </c>
      <c r="B155" s="791">
        <f>SUM(B127:B154)</f>
        <v>34.587647058823535</v>
      </c>
      <c r="C155" s="791">
        <f>SUM(C127:C154)</f>
        <v>60.989579831932772</v>
      </c>
      <c r="D155" s="792">
        <f>SUM(D127:D154)</f>
        <v>342.60882352941178</v>
      </c>
      <c r="E155" s="845"/>
      <c r="F155" s="792">
        <f>SUM(F127:F154)</f>
        <v>327.53013283313328</v>
      </c>
      <c r="G155" s="792">
        <f>SUM(G127:G154)</f>
        <v>985.27225074404748</v>
      </c>
      <c r="H155" s="792">
        <f>SUM(H127:H154)</f>
        <v>97.5</v>
      </c>
      <c r="I155" s="794">
        <f>SUM(I127:I154)</f>
        <v>1752.9112071065924</v>
      </c>
    </row>
    <row r="156" spans="1:9" ht="20.25">
      <c r="A156" s="1348" t="s">
        <v>637</v>
      </c>
      <c r="B156" s="1348"/>
      <c r="C156" s="1348"/>
      <c r="D156" s="1348"/>
      <c r="E156" s="1348"/>
      <c r="F156" s="1348"/>
      <c r="G156" s="1348"/>
      <c r="H156" s="1348"/>
      <c r="I156" s="1348"/>
    </row>
    <row r="157" spans="1:9" s="827" customFormat="1" ht="11.25">
      <c r="A157" s="823" t="s">
        <v>46</v>
      </c>
      <c r="B157" s="824" t="s">
        <v>632</v>
      </c>
      <c r="C157" s="824" t="s">
        <v>631</v>
      </c>
      <c r="D157" s="825" t="s">
        <v>626</v>
      </c>
      <c r="E157" s="826" t="s">
        <v>627</v>
      </c>
      <c r="F157" s="825" t="s">
        <v>628</v>
      </c>
      <c r="G157" s="825" t="s">
        <v>629</v>
      </c>
      <c r="H157" s="825" t="s">
        <v>630</v>
      </c>
      <c r="I157" s="825" t="s">
        <v>271</v>
      </c>
    </row>
    <row r="158" spans="1:9" s="884" customFormat="1">
      <c r="A158" s="747"/>
      <c r="B158" s="748"/>
      <c r="C158" s="748"/>
      <c r="D158" s="749"/>
      <c r="E158" s="750"/>
      <c r="F158" s="749"/>
      <c r="G158" s="749"/>
      <c r="H158" s="749"/>
      <c r="I158" s="751"/>
    </row>
    <row r="159" spans="1:9">
      <c r="A159" s="752" t="s">
        <v>89</v>
      </c>
      <c r="B159" s="846">
        <f>+VATrain5</f>
        <v>10</v>
      </c>
      <c r="C159" s="846">
        <v>2</v>
      </c>
      <c r="D159" s="756">
        <f>B159*LaborNoSkill</f>
        <v>90</v>
      </c>
      <c r="E159" s="836">
        <v>1</v>
      </c>
      <c r="F159" s="756">
        <f>IF(E159&gt;0,VLOOKUP(E159,EquipCost,15)*C159,0)</f>
        <v>30.504000000000001</v>
      </c>
      <c r="G159" s="757">
        <f>+VATrainMat5</f>
        <v>10</v>
      </c>
      <c r="H159" s="757"/>
      <c r="I159" s="758">
        <f>SUM(F159:H159)+D159</f>
        <v>130.50400000000002</v>
      </c>
    </row>
    <row r="160" spans="1:9">
      <c r="A160" s="752" t="s">
        <v>90</v>
      </c>
      <c r="B160" s="846">
        <f>+VAPrune5</f>
        <v>10.371428571428572</v>
      </c>
      <c r="C160" s="846">
        <f>+B160</f>
        <v>10.371428571428572</v>
      </c>
      <c r="D160" s="756">
        <f>B160*LaborNoSkill</f>
        <v>93.342857142857142</v>
      </c>
      <c r="E160" s="836">
        <v>18</v>
      </c>
      <c r="F160" s="756">
        <f>IF(E160&gt;0,VLOOKUP(E160,EquipCost,15)*C160,0)</f>
        <v>38.851371428571433</v>
      </c>
      <c r="G160" s="757"/>
      <c r="H160" s="757"/>
      <c r="I160" s="758">
        <f>SUM(F160:H160)+D160</f>
        <v>132.19422857142857</v>
      </c>
    </row>
    <row r="161" spans="1:9">
      <c r="A161" s="759" t="s">
        <v>110</v>
      </c>
      <c r="B161" s="846">
        <v>1</v>
      </c>
      <c r="C161" s="846">
        <f>+B161</f>
        <v>1</v>
      </c>
      <c r="D161" s="756">
        <f>B161*LaborSkill</f>
        <v>15</v>
      </c>
      <c r="E161" s="836">
        <v>3</v>
      </c>
      <c r="F161" s="756">
        <f>IF(E161&gt;0,VLOOKUP(E161,EquipCost,15)*C161,0)</f>
        <v>12.154999999999999</v>
      </c>
      <c r="G161" s="757"/>
      <c r="H161" s="757"/>
      <c r="I161" s="758">
        <f>SUM(F161:H161)+D161</f>
        <v>27.155000000000001</v>
      </c>
    </row>
    <row r="162" spans="1:9">
      <c r="A162" s="759" t="s">
        <v>111</v>
      </c>
      <c r="B162" s="835">
        <v>0.5</v>
      </c>
      <c r="C162" s="846">
        <f>B162</f>
        <v>0.5</v>
      </c>
      <c r="D162" s="756">
        <f>B162*LaborNoSkill</f>
        <v>4.5</v>
      </c>
      <c r="E162" s="836">
        <v>1</v>
      </c>
      <c r="F162" s="756">
        <f>IF(E162&gt;0,VLOOKUP(E162,EquipCost,15)*C162,0)</f>
        <v>7.6260000000000003</v>
      </c>
      <c r="G162" s="761">
        <f>+VATree*TreeCost*0.01</f>
        <v>46.671428571428578</v>
      </c>
      <c r="H162" s="757"/>
      <c r="I162" s="758">
        <f>SUM(F162:H162)+D162</f>
        <v>58.797428571428576</v>
      </c>
    </row>
    <row r="163" spans="1:9">
      <c r="A163" s="762" t="s">
        <v>92</v>
      </c>
      <c r="B163" s="863"/>
      <c r="C163" s="864"/>
      <c r="D163" s="756"/>
      <c r="E163" s="865"/>
      <c r="F163" s="756"/>
      <c r="G163" s="766"/>
      <c r="H163" s="766"/>
      <c r="I163" s="767"/>
    </row>
    <row r="164" spans="1:9">
      <c r="A164" s="768" t="s">
        <v>88</v>
      </c>
      <c r="B164" s="863">
        <f>+VAHerbTime</f>
        <v>1.1199999999999999</v>
      </c>
      <c r="C164" s="864">
        <f>+B164</f>
        <v>1.1199999999999999</v>
      </c>
      <c r="D164" s="756">
        <f>B164*LaborSkill</f>
        <v>16.799999999999997</v>
      </c>
      <c r="E164" s="865">
        <v>3</v>
      </c>
      <c r="F164" s="756">
        <f>IF(E164&gt;0,VLOOKUP(E164,EquipCost,15)*C164,0)</f>
        <v>13.613599999999998</v>
      </c>
      <c r="G164" s="766"/>
      <c r="H164" s="766"/>
      <c r="I164" s="767">
        <f>SUM(F164:H164)+D164</f>
        <v>30.413599999999995</v>
      </c>
    </row>
    <row r="165" spans="1:9">
      <c r="A165" s="769" t="s">
        <v>93</v>
      </c>
      <c r="B165" s="863"/>
      <c r="C165" s="864">
        <f>+C164</f>
        <v>1.1199999999999999</v>
      </c>
      <c r="D165" s="756"/>
      <c r="E165" s="865">
        <v>5</v>
      </c>
      <c r="F165" s="756">
        <f>IF(E165&gt;0,VLOOKUP(E165,EquipCost,15)*C165,0)</f>
        <v>4.9634666666666662</v>
      </c>
      <c r="G165" s="766">
        <f>+VAHerb5</f>
        <v>12.707979910714284</v>
      </c>
      <c r="H165" s="766"/>
      <c r="I165" s="767">
        <f>SUM(F165:H165)+D165</f>
        <v>17.671446577380951</v>
      </c>
    </row>
    <row r="166" spans="1:9">
      <c r="A166" s="762" t="s">
        <v>94</v>
      </c>
      <c r="B166" s="863"/>
      <c r="C166" s="864"/>
      <c r="D166" s="756"/>
      <c r="E166" s="865"/>
      <c r="F166" s="756"/>
      <c r="G166" s="766"/>
      <c r="H166" s="766"/>
      <c r="I166" s="767"/>
    </row>
    <row r="167" spans="1:9">
      <c r="A167" s="769" t="s">
        <v>95</v>
      </c>
      <c r="B167" s="863">
        <f>+VASprayTime4</f>
        <v>3.6</v>
      </c>
      <c r="C167" s="864">
        <f>+B167</f>
        <v>3.6</v>
      </c>
      <c r="D167" s="756">
        <f>B167*LaborSkill</f>
        <v>54</v>
      </c>
      <c r="E167" s="865">
        <v>2</v>
      </c>
      <c r="F167" s="756">
        <f>IF(E167&gt;0,VLOOKUP(E167,EquipCost,15)*C167,0)</f>
        <v>85.356000000000009</v>
      </c>
      <c r="G167" s="766">
        <f>+VASprayMat5</f>
        <v>825.52766369047606</v>
      </c>
      <c r="H167" s="766"/>
      <c r="I167" s="767">
        <f>SUM(F167:H167)+D167</f>
        <v>964.88366369047606</v>
      </c>
    </row>
    <row r="168" spans="1:9">
      <c r="A168" s="769" t="s">
        <v>96</v>
      </c>
      <c r="B168" s="863"/>
      <c r="C168" s="864">
        <f>+C167</f>
        <v>3.6</v>
      </c>
      <c r="D168" s="756"/>
      <c r="E168" s="865">
        <v>4</v>
      </c>
      <c r="F168" s="756">
        <f>IF(E168&gt;0,VLOOKUP(E168,EquipCost,15)*C168,0)</f>
        <v>37.17</v>
      </c>
      <c r="G168" s="766"/>
      <c r="H168" s="766"/>
      <c r="I168" s="767">
        <f>SUM(F168:H168)+D168</f>
        <v>37.17</v>
      </c>
    </row>
    <row r="169" spans="1:9">
      <c r="A169" s="752" t="s">
        <v>103</v>
      </c>
      <c r="B169" s="870"/>
      <c r="C169" s="870"/>
      <c r="D169" s="312"/>
      <c r="E169" s="721"/>
      <c r="F169" s="312"/>
      <c r="G169" s="312"/>
      <c r="H169" s="312"/>
      <c r="I169" s="770"/>
    </row>
    <row r="170" spans="1:9">
      <c r="A170" s="759" t="s">
        <v>88</v>
      </c>
      <c r="B170" s="835">
        <f>+VAMowTime5</f>
        <v>0.96428571428571441</v>
      </c>
      <c r="C170" s="846">
        <f>+B170</f>
        <v>0.96428571428571441</v>
      </c>
      <c r="D170" s="756">
        <f>B170*LaborNoSkill</f>
        <v>8.6785714285714306</v>
      </c>
      <c r="E170" s="836">
        <v>3</v>
      </c>
      <c r="F170" s="756">
        <f>IF(E170&gt;0,VLOOKUP(E170,EquipCost,15)*C170,0)</f>
        <v>11.720892857142857</v>
      </c>
      <c r="G170" s="757"/>
      <c r="H170" s="757"/>
      <c r="I170" s="758">
        <f>SUM(F170:H170)+D170</f>
        <v>20.399464285714288</v>
      </c>
    </row>
    <row r="171" spans="1:9">
      <c r="A171" s="771" t="s">
        <v>104</v>
      </c>
      <c r="B171" s="835"/>
      <c r="C171" s="846">
        <f>+C170</f>
        <v>0.96428571428571441</v>
      </c>
      <c r="D171" s="756"/>
      <c r="E171" s="836">
        <v>7</v>
      </c>
      <c r="F171" s="756">
        <f>IF(E171&gt;0,VLOOKUP(E171,EquipCost,15)*C171,0)</f>
        <v>4.4931122448979597</v>
      </c>
      <c r="G171" s="757"/>
      <c r="H171" s="757"/>
      <c r="I171" s="758">
        <f>SUM(F171:H171)+D171</f>
        <v>4.4931122448979597</v>
      </c>
    </row>
    <row r="172" spans="1:9">
      <c r="A172" s="752" t="s">
        <v>105</v>
      </c>
      <c r="B172" s="835"/>
      <c r="C172" s="846"/>
      <c r="D172" s="756"/>
      <c r="E172" s="836"/>
      <c r="F172" s="756"/>
      <c r="G172" s="757"/>
      <c r="H172" s="757"/>
      <c r="I172" s="758"/>
    </row>
    <row r="173" spans="1:9">
      <c r="A173" s="759" t="s">
        <v>88</v>
      </c>
      <c r="B173" s="835">
        <f>+VABaitTime5</f>
        <v>0.11764705882352941</v>
      </c>
      <c r="C173" s="846">
        <f>+B173</f>
        <v>0.11764705882352941</v>
      </c>
      <c r="D173" s="756">
        <f>B173*LaborNoSkill</f>
        <v>1.0588235294117647</v>
      </c>
      <c r="E173" s="836">
        <v>3</v>
      </c>
      <c r="F173" s="756">
        <f>IF(E173&gt;0,VLOOKUP(E173,EquipCost,15)*C173,0)</f>
        <v>1.43</v>
      </c>
      <c r="G173" s="757"/>
      <c r="H173" s="757"/>
      <c r="I173" s="758">
        <f>SUM(F173:H173)+D173</f>
        <v>2.4888235294117647</v>
      </c>
    </row>
    <row r="174" spans="1:9">
      <c r="A174" s="759" t="s">
        <v>98</v>
      </c>
      <c r="B174" s="835"/>
      <c r="C174" s="846">
        <f>+C173</f>
        <v>0.11764705882352941</v>
      </c>
      <c r="D174" s="756"/>
      <c r="E174" s="836">
        <v>6</v>
      </c>
      <c r="F174" s="756">
        <f>IF(E174&gt;0,VLOOKUP(E174,EquipCost,15)*C174,0)</f>
        <v>0.36885154061624653</v>
      </c>
      <c r="G174" s="757">
        <f>+VABait5</f>
        <v>5.5</v>
      </c>
      <c r="H174" s="772"/>
      <c r="I174" s="758">
        <f>SUM(F174:H174)+D174</f>
        <v>5.8688515406162463</v>
      </c>
    </row>
    <row r="175" spans="1:9">
      <c r="A175" s="759" t="s">
        <v>107</v>
      </c>
      <c r="B175" s="835">
        <v>2</v>
      </c>
      <c r="C175" s="846">
        <v>1</v>
      </c>
      <c r="D175" s="756">
        <f>B175*LaborNoSkill</f>
        <v>18</v>
      </c>
      <c r="E175" s="836">
        <v>1</v>
      </c>
      <c r="F175" s="756">
        <f>IF(E175&gt;0,VLOOKUP(E175,EquipCost,15)*C175,0)</f>
        <v>15.252000000000001</v>
      </c>
      <c r="G175" s="756">
        <f>+VAWild*VATree</f>
        <v>24.891428571428573</v>
      </c>
      <c r="H175" s="772"/>
      <c r="I175" s="758">
        <f>SUM(F175:H175)+D175</f>
        <v>58.143428571428572</v>
      </c>
    </row>
    <row r="176" spans="1:9">
      <c r="A176" s="752" t="s">
        <v>112</v>
      </c>
      <c r="B176" s="835"/>
      <c r="C176" s="846"/>
      <c r="D176" s="756"/>
      <c r="E176" s="836"/>
      <c r="F176" s="756"/>
      <c r="G176" s="761"/>
      <c r="H176" s="772"/>
      <c r="I176" s="758"/>
    </row>
    <row r="177" spans="1:9">
      <c r="A177" s="769" t="s">
        <v>88</v>
      </c>
      <c r="B177" s="863">
        <f>+VAFertTime5</f>
        <v>0.1</v>
      </c>
      <c r="C177" s="864">
        <f>+B177</f>
        <v>0.1</v>
      </c>
      <c r="D177" s="756">
        <f>B177*LaborNoSkill</f>
        <v>0.9</v>
      </c>
      <c r="E177" s="865">
        <v>3</v>
      </c>
      <c r="F177" s="756">
        <f>IF(E177&gt;0,VLOOKUP(E177,EquipCost,15)*C177,0)</f>
        <v>1.2155</v>
      </c>
      <c r="G177" s="756">
        <f>+VAFert5</f>
        <v>14.973750000000003</v>
      </c>
      <c r="H177" s="766"/>
      <c r="I177" s="767">
        <f>SUM(F177:H177)+D177</f>
        <v>17.08925</v>
      </c>
    </row>
    <row r="178" spans="1:9">
      <c r="A178" s="769" t="s">
        <v>98</v>
      </c>
      <c r="B178" s="863"/>
      <c r="C178" s="864">
        <f>+C177</f>
        <v>0.1</v>
      </c>
      <c r="D178" s="756"/>
      <c r="E178" s="865">
        <v>6</v>
      </c>
      <c r="F178" s="756">
        <f>IF(E178&gt;0,VLOOKUP(E178,EquipCost,15)*C178,0)</f>
        <v>0.31352380952380954</v>
      </c>
      <c r="G178" s="766"/>
      <c r="H178" s="766"/>
      <c r="I178" s="767">
        <f>SUM(F178:H178)+D178</f>
        <v>0.31352380952380954</v>
      </c>
    </row>
    <row r="179" spans="1:9">
      <c r="A179" s="769" t="s">
        <v>116</v>
      </c>
      <c r="B179" s="835"/>
      <c r="C179" s="846"/>
      <c r="D179" s="756"/>
      <c r="E179" s="836"/>
      <c r="F179" s="756"/>
      <c r="G179" s="761">
        <f>+Lime</f>
        <v>35</v>
      </c>
      <c r="H179" s="757"/>
      <c r="I179" s="758">
        <f t="shared" ref="I179:I184" si="3">SUM(F179:H179)+D179</f>
        <v>35</v>
      </c>
    </row>
    <row r="180" spans="1:9">
      <c r="A180" s="771" t="s">
        <v>108</v>
      </c>
      <c r="B180" s="871"/>
      <c r="C180" s="871"/>
      <c r="D180" s="772"/>
      <c r="E180" s="873"/>
      <c r="F180" s="772"/>
      <c r="G180" s="772"/>
      <c r="H180" s="772">
        <v>15</v>
      </c>
      <c r="I180" s="767">
        <f>SUM(F180:H180)+D180</f>
        <v>15</v>
      </c>
    </row>
    <row r="181" spans="1:9">
      <c r="A181" s="771" t="s">
        <v>109</v>
      </c>
      <c r="B181" s="871"/>
      <c r="C181" s="871"/>
      <c r="D181" s="772"/>
      <c r="E181" s="873"/>
      <c r="F181" s="772"/>
      <c r="G181" s="772"/>
      <c r="H181" s="772">
        <v>35</v>
      </c>
      <c r="I181" s="767">
        <f>SUM(F181:H181)+D181</f>
        <v>35</v>
      </c>
    </row>
    <row r="182" spans="1:9">
      <c r="A182" s="759" t="s">
        <v>115</v>
      </c>
      <c r="B182" s="835">
        <v>0.5</v>
      </c>
      <c r="C182" s="835">
        <v>40</v>
      </c>
      <c r="D182" s="756">
        <f>B182*LaborNoSkill</f>
        <v>4.5</v>
      </c>
      <c r="E182" s="873">
        <v>17</v>
      </c>
      <c r="F182" s="756">
        <f>IF(E182&gt;0,VLOOKUP(E182,EquipCost,15)*C182,0)</f>
        <v>88</v>
      </c>
      <c r="G182" s="761"/>
      <c r="H182" s="772"/>
      <c r="I182" s="758">
        <f t="shared" si="3"/>
        <v>92.5</v>
      </c>
    </row>
    <row r="183" spans="1:9">
      <c r="A183" s="759" t="s">
        <v>71</v>
      </c>
      <c r="B183" s="835"/>
      <c r="C183" s="835"/>
      <c r="D183" s="756">
        <f>B183*LaborNoSkill</f>
        <v>0</v>
      </c>
      <c r="E183" s="836"/>
      <c r="F183" s="756">
        <f>IF(E183&gt;0,VLOOKUP(E183,EquipCost,15)*C183,0)</f>
        <v>0</v>
      </c>
      <c r="G183" s="757"/>
      <c r="H183" s="761">
        <f>+RETax</f>
        <v>35</v>
      </c>
      <c r="I183" s="758">
        <f t="shared" si="3"/>
        <v>35</v>
      </c>
    </row>
    <row r="184" spans="1:9" s="884" customFormat="1">
      <c r="A184" s="776" t="s">
        <v>72</v>
      </c>
      <c r="B184" s="882"/>
      <c r="C184" s="882"/>
      <c r="D184" s="780">
        <f>B184*LaborNoSkill</f>
        <v>0</v>
      </c>
      <c r="E184" s="883"/>
      <c r="F184" s="780">
        <f>IF(E184&gt;0,VLOOKUP(E184,EquipCost,15)*C184,0)</f>
        <v>0</v>
      </c>
      <c r="G184" s="781"/>
      <c r="H184" s="782">
        <f>+other</f>
        <v>12.5</v>
      </c>
      <c r="I184" s="783">
        <f t="shared" si="3"/>
        <v>12.5</v>
      </c>
    </row>
    <row r="185" spans="1:9" s="884" customFormat="1">
      <c r="A185" s="784"/>
      <c r="B185" s="879"/>
      <c r="C185" s="879"/>
      <c r="D185" s="788"/>
      <c r="E185" s="844"/>
      <c r="F185" s="788"/>
      <c r="G185" s="788"/>
      <c r="H185" s="788"/>
      <c r="I185" s="789"/>
    </row>
    <row r="186" spans="1:9">
      <c r="A186" s="790" t="s">
        <v>49</v>
      </c>
      <c r="B186" s="791">
        <f>SUM(B158:B185)</f>
        <v>30.273361344537822</v>
      </c>
      <c r="C186" s="791">
        <f>SUM(C158:C185)</f>
        <v>66.67529411764707</v>
      </c>
      <c r="D186" s="792">
        <f>SUM(D158:D185)</f>
        <v>306.78025210084036</v>
      </c>
      <c r="E186" s="845"/>
      <c r="F186" s="792">
        <f>SUM(F158:F185)</f>
        <v>353.03331854741901</v>
      </c>
      <c r="G186" s="792">
        <f>SUM(G158:G185)</f>
        <v>975.27225074404748</v>
      </c>
      <c r="H186" s="792">
        <f>SUM(H158:H185)</f>
        <v>97.5</v>
      </c>
      <c r="I186" s="794">
        <f>SUM(I158:I185)</f>
        <v>1732.5858213923066</v>
      </c>
    </row>
    <row r="187" spans="1:9" ht="20.25">
      <c r="A187" s="1348" t="s">
        <v>638</v>
      </c>
      <c r="B187" s="1348"/>
      <c r="C187" s="1348"/>
      <c r="D187" s="1348"/>
      <c r="E187" s="1348"/>
      <c r="F187" s="1348"/>
      <c r="G187" s="1348"/>
      <c r="H187" s="1348"/>
      <c r="I187" s="1348"/>
    </row>
    <row r="188" spans="1:9" s="827" customFormat="1" ht="11.25">
      <c r="A188" s="823" t="s">
        <v>46</v>
      </c>
      <c r="B188" s="824" t="s">
        <v>632</v>
      </c>
      <c r="C188" s="824" t="s">
        <v>631</v>
      </c>
      <c r="D188" s="825" t="s">
        <v>626</v>
      </c>
      <c r="E188" s="826" t="s">
        <v>627</v>
      </c>
      <c r="F188" s="825" t="s">
        <v>628</v>
      </c>
      <c r="G188" s="825" t="s">
        <v>629</v>
      </c>
      <c r="H188" s="825" t="s">
        <v>630</v>
      </c>
      <c r="I188" s="825" t="s">
        <v>271</v>
      </c>
    </row>
    <row r="189" spans="1:9" s="884" customFormat="1">
      <c r="A189" s="795"/>
      <c r="B189" s="796"/>
      <c r="C189" s="796"/>
      <c r="D189" s="797"/>
      <c r="E189" s="798"/>
      <c r="F189" s="797"/>
      <c r="G189" s="749"/>
      <c r="H189" s="749"/>
      <c r="I189" s="751"/>
    </row>
    <row r="190" spans="1:9">
      <c r="A190" s="800" t="s">
        <v>89</v>
      </c>
      <c r="B190" s="753">
        <f>+VATrain6</f>
        <v>4</v>
      </c>
      <c r="C190" s="753">
        <v>2</v>
      </c>
      <c r="D190" s="754">
        <f>B190*LaborNoSkill</f>
        <v>36</v>
      </c>
      <c r="E190" s="755">
        <v>1</v>
      </c>
      <c r="F190" s="754">
        <f>IF(E190&gt;0,VLOOKUP(E190,EquipCost,15)*C190,0)</f>
        <v>30.504000000000001</v>
      </c>
      <c r="G190" s="757">
        <f>+VATrainMat6</f>
        <v>6</v>
      </c>
      <c r="H190" s="757"/>
      <c r="I190" s="758">
        <f>SUM(F190:H190)+D190</f>
        <v>72.504000000000005</v>
      </c>
    </row>
    <row r="191" spans="1:9">
      <c r="A191" s="800" t="s">
        <v>90</v>
      </c>
      <c r="B191" s="753">
        <f>+VAPrune6</f>
        <v>31.114285714285717</v>
      </c>
      <c r="C191" s="753">
        <f>+B191</f>
        <v>31.114285714285717</v>
      </c>
      <c r="D191" s="754">
        <f>B191*LaborNoSkill</f>
        <v>280.02857142857147</v>
      </c>
      <c r="E191" s="755">
        <v>18</v>
      </c>
      <c r="F191" s="754">
        <f>IF(E191&gt;0,VLOOKUP(E191,EquipCost,15)*C191,0)</f>
        <v>116.55411428571429</v>
      </c>
      <c r="G191" s="757"/>
      <c r="H191" s="757"/>
      <c r="I191" s="758">
        <f>SUM(F191:H191)+D191</f>
        <v>396.58268571428573</v>
      </c>
    </row>
    <row r="192" spans="1:9">
      <c r="A192" s="803" t="s">
        <v>110</v>
      </c>
      <c r="B192" s="753">
        <v>2</v>
      </c>
      <c r="C192" s="753">
        <f>+B192</f>
        <v>2</v>
      </c>
      <c r="D192" s="754">
        <f>B192*LaborSkill</f>
        <v>30</v>
      </c>
      <c r="E192" s="755">
        <v>3</v>
      </c>
      <c r="F192" s="754">
        <f>IF(E192&gt;0,VLOOKUP(E192,EquipCost,15)*C192,0)</f>
        <v>24.31</v>
      </c>
      <c r="G192" s="757"/>
      <c r="H192" s="757"/>
      <c r="I192" s="758">
        <f>SUM(F192:H192)+D192</f>
        <v>54.31</v>
      </c>
    </row>
    <row r="193" spans="1:9">
      <c r="A193" s="803" t="s">
        <v>111</v>
      </c>
      <c r="B193" s="760">
        <v>0.5</v>
      </c>
      <c r="C193" s="753">
        <f>B193</f>
        <v>0.5</v>
      </c>
      <c r="D193" s="754">
        <f>B193*LaborNoSkill</f>
        <v>4.5</v>
      </c>
      <c r="E193" s="755">
        <v>1</v>
      </c>
      <c r="F193" s="754">
        <f>IF(E193&gt;0,VLOOKUP(E193,EquipCost,15)*C193,0)</f>
        <v>7.6260000000000003</v>
      </c>
      <c r="G193" s="761">
        <f>+VATree*TreeCost*0.01</f>
        <v>46.671428571428578</v>
      </c>
      <c r="H193" s="757"/>
      <c r="I193" s="758">
        <f>SUM(F193:H193)+D193</f>
        <v>58.797428571428576</v>
      </c>
    </row>
    <row r="194" spans="1:9">
      <c r="A194" s="806" t="s">
        <v>92</v>
      </c>
      <c r="B194" s="763"/>
      <c r="C194" s="764"/>
      <c r="D194" s="754"/>
      <c r="E194" s="765"/>
      <c r="F194" s="754"/>
      <c r="G194" s="766"/>
      <c r="H194" s="766"/>
      <c r="I194" s="767"/>
    </row>
    <row r="195" spans="1:9">
      <c r="A195" s="809" t="s">
        <v>88</v>
      </c>
      <c r="B195" s="763">
        <f>+VAHerbTime</f>
        <v>1.1199999999999999</v>
      </c>
      <c r="C195" s="764">
        <f>+B195</f>
        <v>1.1199999999999999</v>
      </c>
      <c r="D195" s="754">
        <f>B195*LaborSkill</f>
        <v>16.799999999999997</v>
      </c>
      <c r="E195" s="765">
        <v>3</v>
      </c>
      <c r="F195" s="754">
        <f>IF(E195&gt;0,VLOOKUP(E195,EquipCost,15)*C195,0)</f>
        <v>13.613599999999998</v>
      </c>
      <c r="G195" s="766"/>
      <c r="H195" s="766"/>
      <c r="I195" s="767">
        <f>SUM(F195:H195)+D195</f>
        <v>30.413599999999995</v>
      </c>
    </row>
    <row r="196" spans="1:9">
      <c r="A196" s="810" t="s">
        <v>93</v>
      </c>
      <c r="B196" s="763"/>
      <c r="C196" s="764">
        <f>+C195</f>
        <v>1.1199999999999999</v>
      </c>
      <c r="D196" s="754"/>
      <c r="E196" s="765">
        <v>5</v>
      </c>
      <c r="F196" s="754">
        <f>IF(E196&gt;0,VLOOKUP(E196,EquipCost,15)*C196,0)</f>
        <v>4.9634666666666662</v>
      </c>
      <c r="G196" s="766">
        <f>+VAHerb6</f>
        <v>12.707979910714284</v>
      </c>
      <c r="H196" s="766"/>
      <c r="I196" s="767">
        <f>SUM(F196:H196)+D196</f>
        <v>17.671446577380951</v>
      </c>
    </row>
    <row r="197" spans="1:9">
      <c r="A197" s="806" t="s">
        <v>94</v>
      </c>
      <c r="B197" s="763"/>
      <c r="C197" s="764"/>
      <c r="D197" s="754"/>
      <c r="E197" s="765"/>
      <c r="F197" s="754"/>
      <c r="G197" s="766"/>
      <c r="H197" s="766"/>
      <c r="I197" s="767"/>
    </row>
    <row r="198" spans="1:9">
      <c r="A198" s="810" t="s">
        <v>95</v>
      </c>
      <c r="B198" s="763">
        <f>+VASprayTime4</f>
        <v>3.6</v>
      </c>
      <c r="C198" s="764">
        <f>+B198</f>
        <v>3.6</v>
      </c>
      <c r="D198" s="754">
        <f>B198*LaborSkill</f>
        <v>54</v>
      </c>
      <c r="E198" s="765">
        <v>2</v>
      </c>
      <c r="F198" s="754">
        <f>IF(E198&gt;0,VLOOKUP(E198,EquipCost,15)*C198,0)</f>
        <v>85.356000000000009</v>
      </c>
      <c r="G198" s="766">
        <f>+VASprayMat6</f>
        <v>825.52766369047606</v>
      </c>
      <c r="H198" s="766"/>
      <c r="I198" s="767">
        <f>SUM(F198:H198)+D198</f>
        <v>964.88366369047606</v>
      </c>
    </row>
    <row r="199" spans="1:9">
      <c r="A199" s="810" t="s">
        <v>96</v>
      </c>
      <c r="B199" s="763"/>
      <c r="C199" s="764">
        <f>+C198</f>
        <v>3.6</v>
      </c>
      <c r="D199" s="754"/>
      <c r="E199" s="765">
        <v>4</v>
      </c>
      <c r="F199" s="754">
        <f>IF(E199&gt;0,VLOOKUP(E199,EquipCost,15)*C199,0)</f>
        <v>37.17</v>
      </c>
      <c r="G199" s="766"/>
      <c r="H199" s="766"/>
      <c r="I199" s="767">
        <f>SUM(F199:H199)+D199</f>
        <v>37.17</v>
      </c>
    </row>
    <row r="200" spans="1:9">
      <c r="A200" s="806" t="s">
        <v>654</v>
      </c>
      <c r="B200" s="763">
        <v>1</v>
      </c>
      <c r="C200" s="764"/>
      <c r="D200" s="754">
        <f>B200*LaborNoSkill</f>
        <v>9</v>
      </c>
      <c r="E200" s="765"/>
      <c r="F200" s="754"/>
      <c r="G200" s="766"/>
      <c r="H200" s="766"/>
      <c r="I200" s="767">
        <f>SUM(F200:H200)+D200</f>
        <v>9</v>
      </c>
    </row>
    <row r="201" spans="1:9">
      <c r="A201" s="800" t="s">
        <v>103</v>
      </c>
      <c r="B201" s="400"/>
      <c r="C201" s="400"/>
      <c r="D201" s="129"/>
      <c r="E201" s="399"/>
      <c r="F201" s="129"/>
      <c r="G201" s="312"/>
      <c r="H201" s="312"/>
      <c r="I201" s="770"/>
    </row>
    <row r="202" spans="1:9">
      <c r="A202" s="803" t="s">
        <v>88</v>
      </c>
      <c r="B202" s="760">
        <f>+VAMowTime6</f>
        <v>0.96428571428571441</v>
      </c>
      <c r="C202" s="753">
        <f>+B202</f>
        <v>0.96428571428571441</v>
      </c>
      <c r="D202" s="754">
        <f>B202*LaborNoSkill</f>
        <v>8.6785714285714306</v>
      </c>
      <c r="E202" s="755">
        <v>3</v>
      </c>
      <c r="F202" s="754">
        <f>IF(E202&gt;0,VLOOKUP(E202,EquipCost,15)*C202,0)</f>
        <v>11.720892857142857</v>
      </c>
      <c r="G202" s="757"/>
      <c r="H202" s="757"/>
      <c r="I202" s="758">
        <f>SUM(F202:H202)+D202</f>
        <v>20.399464285714288</v>
      </c>
    </row>
    <row r="203" spans="1:9">
      <c r="A203" s="811" t="s">
        <v>104</v>
      </c>
      <c r="B203" s="760"/>
      <c r="C203" s="753">
        <f>+C202</f>
        <v>0.96428571428571441</v>
      </c>
      <c r="D203" s="754"/>
      <c r="E203" s="755">
        <v>7</v>
      </c>
      <c r="F203" s="754">
        <f>IF(E203&gt;0,VLOOKUP(E203,EquipCost,15)*C203,0)</f>
        <v>4.4931122448979597</v>
      </c>
      <c r="G203" s="757"/>
      <c r="H203" s="757"/>
      <c r="I203" s="758">
        <f>SUM(F203:H203)+D203</f>
        <v>4.4931122448979597</v>
      </c>
    </row>
    <row r="204" spans="1:9">
      <c r="A204" s="800" t="s">
        <v>105</v>
      </c>
      <c r="B204" s="760"/>
      <c r="C204" s="753"/>
      <c r="D204" s="754"/>
      <c r="E204" s="755"/>
      <c r="F204" s="754"/>
      <c r="G204" s="757"/>
      <c r="H204" s="757"/>
      <c r="I204" s="758"/>
    </row>
    <row r="205" spans="1:9">
      <c r="A205" s="803" t="s">
        <v>88</v>
      </c>
      <c r="B205" s="760">
        <f>+VABaitTIme6</f>
        <v>0.11764705882352941</v>
      </c>
      <c r="C205" s="753">
        <f>+B205</f>
        <v>0.11764705882352941</v>
      </c>
      <c r="D205" s="754">
        <f>B205*LaborNoSkill</f>
        <v>1.0588235294117647</v>
      </c>
      <c r="E205" s="755">
        <v>3</v>
      </c>
      <c r="F205" s="754">
        <f>IF(E205&gt;0,VLOOKUP(E205,EquipCost,15)*C205,0)</f>
        <v>1.43</v>
      </c>
      <c r="G205" s="757"/>
      <c r="H205" s="757"/>
      <c r="I205" s="758">
        <f>SUM(F205:H205)+D205</f>
        <v>2.4888235294117647</v>
      </c>
    </row>
    <row r="206" spans="1:9">
      <c r="A206" s="803" t="s">
        <v>98</v>
      </c>
      <c r="B206" s="760"/>
      <c r="C206" s="753">
        <f>+C205</f>
        <v>0.11764705882352941</v>
      </c>
      <c r="D206" s="754"/>
      <c r="E206" s="755">
        <v>6</v>
      </c>
      <c r="F206" s="754">
        <f>IF(E206&gt;0,VLOOKUP(E206,EquipCost,15)*C206,0)</f>
        <v>0.36885154061624653</v>
      </c>
      <c r="G206" s="757">
        <f>+VABait6</f>
        <v>5.5</v>
      </c>
      <c r="H206" s="772"/>
      <c r="I206" s="758">
        <f>SUM(F206:H206)+D206</f>
        <v>5.8688515406162463</v>
      </c>
    </row>
    <row r="207" spans="1:9">
      <c r="A207" s="803" t="s">
        <v>107</v>
      </c>
      <c r="B207" s="760">
        <v>2</v>
      </c>
      <c r="C207" s="753">
        <v>1</v>
      </c>
      <c r="D207" s="754">
        <f>B207*LaborNoSkill</f>
        <v>18</v>
      </c>
      <c r="E207" s="755">
        <v>1</v>
      </c>
      <c r="F207" s="754">
        <f>IF(E207&gt;0,VLOOKUP(E207,EquipCost,15)*C207,0)</f>
        <v>15.252000000000001</v>
      </c>
      <c r="G207" s="756">
        <f>+VAWild*VATree</f>
        <v>24.891428571428573</v>
      </c>
      <c r="H207" s="772"/>
      <c r="I207" s="758">
        <f>SUM(F207:H207)+D207</f>
        <v>58.143428571428572</v>
      </c>
    </row>
    <row r="208" spans="1:9">
      <c r="A208" s="800" t="s">
        <v>112</v>
      </c>
      <c r="B208" s="760"/>
      <c r="C208" s="753"/>
      <c r="D208" s="754"/>
      <c r="E208" s="755"/>
      <c r="F208" s="754"/>
      <c r="G208" s="761"/>
      <c r="H208" s="772"/>
      <c r="I208" s="758"/>
    </row>
    <row r="209" spans="1:9">
      <c r="A209" s="810" t="s">
        <v>88</v>
      </c>
      <c r="B209" s="763">
        <f>+VAFertTime6</f>
        <v>0.1</v>
      </c>
      <c r="C209" s="764">
        <f>+B209</f>
        <v>0.1</v>
      </c>
      <c r="D209" s="754">
        <f>B209*LaborNoSkill</f>
        <v>0.9</v>
      </c>
      <c r="E209" s="765">
        <v>3</v>
      </c>
      <c r="F209" s="754">
        <f>IF(E209&gt;0,VLOOKUP(E209,EquipCost,15)*C209,0)</f>
        <v>1.2155</v>
      </c>
      <c r="G209" s="756">
        <f>+VAFert6</f>
        <v>18.571339285714288</v>
      </c>
      <c r="H209" s="766"/>
      <c r="I209" s="767">
        <f>SUM(F209:H209)+D209</f>
        <v>20.686839285714285</v>
      </c>
    </row>
    <row r="210" spans="1:9">
      <c r="A210" s="810" t="s">
        <v>98</v>
      </c>
      <c r="B210" s="763"/>
      <c r="C210" s="764">
        <f>+C209</f>
        <v>0.1</v>
      </c>
      <c r="D210" s="754"/>
      <c r="E210" s="765">
        <v>6</v>
      </c>
      <c r="F210" s="754">
        <f>IF(E210&gt;0,VLOOKUP(E210,EquipCost,15)*C210,0)</f>
        <v>0.31352380952380954</v>
      </c>
      <c r="G210" s="766"/>
      <c r="H210" s="766"/>
      <c r="I210" s="767">
        <f>SUM(F210:H210)+D210</f>
        <v>0.31352380952380954</v>
      </c>
    </row>
    <row r="211" spans="1:9">
      <c r="A211" s="810" t="s">
        <v>114</v>
      </c>
      <c r="B211" s="760"/>
      <c r="C211" s="753"/>
      <c r="D211" s="754"/>
      <c r="E211" s="755"/>
      <c r="F211" s="754"/>
      <c r="G211" s="761">
        <f>+Lime</f>
        <v>35</v>
      </c>
      <c r="H211" s="757"/>
      <c r="I211" s="758">
        <f t="shared" ref="I211:I216" si="4">SUM(F211:H211)+D211</f>
        <v>35</v>
      </c>
    </row>
    <row r="212" spans="1:9">
      <c r="A212" s="811" t="s">
        <v>108</v>
      </c>
      <c r="B212" s="773"/>
      <c r="C212" s="773"/>
      <c r="D212" s="774"/>
      <c r="E212" s="775"/>
      <c r="F212" s="774"/>
      <c r="G212" s="772"/>
      <c r="H212" s="772">
        <v>15</v>
      </c>
      <c r="I212" s="767">
        <f>SUM(F212:H212)+D212</f>
        <v>15</v>
      </c>
    </row>
    <row r="213" spans="1:9">
      <c r="A213" s="811" t="s">
        <v>109</v>
      </c>
      <c r="B213" s="773"/>
      <c r="C213" s="773"/>
      <c r="D213" s="774"/>
      <c r="E213" s="775"/>
      <c r="F213" s="774"/>
      <c r="G213" s="772"/>
      <c r="H213" s="772">
        <v>35</v>
      </c>
      <c r="I213" s="767">
        <f>SUM(F213:H213)+D213</f>
        <v>35</v>
      </c>
    </row>
    <row r="214" spans="1:9">
      <c r="A214" s="803" t="s">
        <v>115</v>
      </c>
      <c r="B214" s="760">
        <v>0.5</v>
      </c>
      <c r="C214" s="760">
        <v>40</v>
      </c>
      <c r="D214" s="754">
        <f>B214*LaborNoSkill</f>
        <v>4.5</v>
      </c>
      <c r="E214" s="775">
        <v>17</v>
      </c>
      <c r="F214" s="754">
        <f>IF(E214&gt;0,VLOOKUP(E214,EquipCost,15)*C214,0)</f>
        <v>88</v>
      </c>
      <c r="G214" s="761"/>
      <c r="H214" s="772"/>
      <c r="I214" s="758">
        <f t="shared" si="4"/>
        <v>92.5</v>
      </c>
    </row>
    <row r="215" spans="1:9">
      <c r="A215" s="803" t="s">
        <v>71</v>
      </c>
      <c r="B215" s="760"/>
      <c r="C215" s="760"/>
      <c r="D215" s="754">
        <f>B215*LaborNoSkill</f>
        <v>0</v>
      </c>
      <c r="E215" s="755"/>
      <c r="F215" s="754">
        <f>IF(E215&gt;0,VLOOKUP(E215,EquipCost,15)*C215,0)</f>
        <v>0</v>
      </c>
      <c r="G215" s="757"/>
      <c r="H215" s="761">
        <f>+RETax</f>
        <v>35</v>
      </c>
      <c r="I215" s="758">
        <f t="shared" si="4"/>
        <v>35</v>
      </c>
    </row>
    <row r="216" spans="1:9" s="884" customFormat="1">
      <c r="A216" s="812" t="s">
        <v>72</v>
      </c>
      <c r="B216" s="777"/>
      <c r="C216" s="777"/>
      <c r="D216" s="778">
        <f>B216*LaborNoSkill</f>
        <v>0</v>
      </c>
      <c r="E216" s="779"/>
      <c r="F216" s="778">
        <f>IF(E216&gt;0,VLOOKUP(E216,EquipCost,15)*C216,0)</f>
        <v>0</v>
      </c>
      <c r="G216" s="781"/>
      <c r="H216" s="782">
        <f>+other</f>
        <v>12.5</v>
      </c>
      <c r="I216" s="783">
        <f t="shared" si="4"/>
        <v>12.5</v>
      </c>
    </row>
    <row r="217" spans="1:9" s="884" customFormat="1">
      <c r="A217" s="784"/>
      <c r="B217" s="785"/>
      <c r="C217" s="785"/>
      <c r="D217" s="788"/>
      <c r="E217" s="844"/>
      <c r="F217" s="788"/>
      <c r="G217" s="788"/>
      <c r="H217" s="788"/>
      <c r="I217" s="789"/>
    </row>
    <row r="218" spans="1:9">
      <c r="A218" s="790" t="s">
        <v>49</v>
      </c>
      <c r="B218" s="791">
        <f>SUM(B189:B217)</f>
        <v>47.016218487394958</v>
      </c>
      <c r="C218" s="791">
        <f>SUM(C189:C217)</f>
        <v>88.418151260504203</v>
      </c>
      <c r="D218" s="792">
        <f>SUM(D189:D217)</f>
        <v>463.46596638655467</v>
      </c>
      <c r="E218" s="793"/>
      <c r="F218" s="792">
        <f>SUM(F189:F217)</f>
        <v>442.89106140456192</v>
      </c>
      <c r="G218" s="792">
        <f>SUM(G189:G217)</f>
        <v>974.8698400297618</v>
      </c>
      <c r="H218" s="792">
        <f>SUM(H189:H217)</f>
        <v>97.5</v>
      </c>
      <c r="I218" s="794">
        <f>SUM(I189:I217)</f>
        <v>1978.7268678208782</v>
      </c>
    </row>
    <row r="219" spans="1:9" ht="20.25">
      <c r="A219" s="1306" t="s">
        <v>20</v>
      </c>
      <c r="B219" s="1307"/>
      <c r="C219" s="1307"/>
      <c r="D219" s="1307"/>
      <c r="E219" s="1307"/>
      <c r="F219" s="1307"/>
      <c r="G219" s="1307"/>
      <c r="H219" s="1307"/>
      <c r="I219" s="1308"/>
    </row>
    <row r="220" spans="1:9" s="10" customFormat="1" ht="11.25">
      <c r="A220" s="890"/>
      <c r="B220" s="891"/>
      <c r="C220" s="891"/>
      <c r="D220" s="892"/>
      <c r="E220" s="893"/>
      <c r="F220" s="892"/>
      <c r="G220" s="892"/>
      <c r="H220" s="892"/>
      <c r="I220" s="894" t="s">
        <v>633</v>
      </c>
    </row>
    <row r="221" spans="1:9" ht="20.25">
      <c r="A221" s="895" t="s">
        <v>65</v>
      </c>
      <c r="B221" s="896"/>
      <c r="C221" s="896"/>
      <c r="D221" s="315"/>
      <c r="E221" s="717"/>
      <c r="F221" s="315"/>
      <c r="G221" s="315"/>
      <c r="H221" s="315"/>
      <c r="I221" s="897">
        <f>+Year0</f>
        <v>794</v>
      </c>
    </row>
    <row r="222" spans="1:9" ht="20.25">
      <c r="A222" s="898" t="str">
        <f>+A17</f>
        <v>Year 1, Planting Year.</v>
      </c>
      <c r="B222" s="870"/>
      <c r="C222" s="870"/>
      <c r="D222" s="312"/>
      <c r="E222" s="721"/>
      <c r="F222" s="312"/>
      <c r="G222" s="312"/>
      <c r="H222" s="312"/>
      <c r="I222" s="899">
        <f>+VAYear1</f>
        <v>8430.6709004172517</v>
      </c>
    </row>
    <row r="223" spans="1:9" ht="20.25">
      <c r="A223" s="898" t="str">
        <f>+A65</f>
        <v>Year 2, Non-bearing Year</v>
      </c>
      <c r="B223" s="870"/>
      <c r="C223" s="870"/>
      <c r="D223" s="312"/>
      <c r="E223" s="721"/>
      <c r="F223" s="312"/>
      <c r="G223" s="312"/>
      <c r="H223" s="312"/>
      <c r="I223" s="899">
        <f>+VAYear2</f>
        <v>1546.4753419902963</v>
      </c>
    </row>
    <row r="224" spans="1:9" ht="20.25">
      <c r="A224" s="898" t="str">
        <f>+A95</f>
        <v>Year 3, Early Cropping Year</v>
      </c>
      <c r="B224" s="870"/>
      <c r="C224" s="870"/>
      <c r="D224" s="312"/>
      <c r="E224" s="721"/>
      <c r="F224" s="312"/>
      <c r="G224" s="312"/>
      <c r="H224" s="312"/>
      <c r="I224" s="899">
        <f>+VAYear3</f>
        <v>1456.5402191601638</v>
      </c>
    </row>
    <row r="225" spans="1:9" ht="20.25">
      <c r="A225" s="898" t="str">
        <f>+A125</f>
        <v>Year 4, Early Cropping Year</v>
      </c>
      <c r="B225" s="870"/>
      <c r="C225" s="870"/>
      <c r="D225" s="312"/>
      <c r="E225" s="721"/>
      <c r="F225" s="312"/>
      <c r="G225" s="312"/>
      <c r="H225" s="312"/>
      <c r="I225" s="899">
        <f>+VAYear4</f>
        <v>1752.9112071065924</v>
      </c>
    </row>
    <row r="226" spans="1:9" ht="20.25">
      <c r="A226" s="898" t="str">
        <f>+A156</f>
        <v>Year 5, Early Cropping Year</v>
      </c>
      <c r="B226" s="870"/>
      <c r="C226" s="870"/>
      <c r="D226" s="312"/>
      <c r="E226" s="721"/>
      <c r="F226" s="312"/>
      <c r="G226" s="312"/>
      <c r="H226" s="312"/>
      <c r="I226" s="899">
        <f>+VAYear5</f>
        <v>1732.5858213923066</v>
      </c>
    </row>
    <row r="227" spans="1:9" ht="20.25">
      <c r="A227" s="900" t="str">
        <f>+A187</f>
        <v>Year 6, Full Bearing Year</v>
      </c>
      <c r="B227" s="901"/>
      <c r="C227" s="901"/>
      <c r="D227" s="313"/>
      <c r="E227" s="729"/>
      <c r="F227" s="313"/>
      <c r="G227" s="313"/>
      <c r="H227" s="313"/>
      <c r="I227" s="902">
        <f>+VAYear6</f>
        <v>1978.7268678208782</v>
      </c>
    </row>
  </sheetData>
  <mergeCells count="8">
    <mergeCell ref="A219:I219"/>
    <mergeCell ref="A1:I1"/>
    <mergeCell ref="A17:I17"/>
    <mergeCell ref="A65:I65"/>
    <mergeCell ref="A95:I95"/>
    <mergeCell ref="A125:I125"/>
    <mergeCell ref="A156:I156"/>
    <mergeCell ref="A187:I187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6" manualBreakCount="6">
    <brk id="16" max="16383" man="1"/>
    <brk id="64" max="16383" man="1"/>
    <brk id="94" max="16383" man="1"/>
    <brk id="124" max="16383" man="1"/>
    <brk id="155" max="16383" man="1"/>
    <brk id="18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1"/>
  <sheetViews>
    <sheetView workbookViewId="0">
      <selection activeCell="H15" sqref="H15"/>
    </sheetView>
  </sheetViews>
  <sheetFormatPr defaultRowHeight="12.75"/>
  <cols>
    <col min="1" max="1" width="16" style="17" customWidth="1"/>
    <col min="2" max="3" width="10.140625" style="30" customWidth="1"/>
    <col min="4" max="4" width="10.140625" style="18" customWidth="1"/>
    <col min="5" max="5" width="10.140625" style="28" customWidth="1"/>
    <col min="6" max="9" width="10.140625" style="18" customWidth="1"/>
    <col min="10" max="16384" width="9.140625" style="17"/>
  </cols>
  <sheetData>
    <row r="1" spans="1:9" ht="20.25">
      <c r="A1" s="1320" t="s">
        <v>646</v>
      </c>
      <c r="B1" s="1320"/>
      <c r="C1" s="1320"/>
      <c r="D1" s="1320"/>
      <c r="E1" s="1320"/>
      <c r="F1" s="1320"/>
      <c r="G1" s="1320"/>
      <c r="H1" s="1320"/>
      <c r="I1" s="1320"/>
    </row>
    <row r="2" spans="1:9" s="173" customFormat="1" ht="11.25">
      <c r="A2" s="174" t="s">
        <v>46</v>
      </c>
      <c r="B2" s="175" t="s">
        <v>632</v>
      </c>
      <c r="C2" s="175" t="s">
        <v>631</v>
      </c>
      <c r="D2" s="176" t="s">
        <v>626</v>
      </c>
      <c r="E2" s="177" t="s">
        <v>627</v>
      </c>
      <c r="F2" s="176" t="s">
        <v>628</v>
      </c>
      <c r="G2" s="176" t="s">
        <v>629</v>
      </c>
      <c r="H2" s="176" t="s">
        <v>630</v>
      </c>
      <c r="I2" s="176" t="s">
        <v>271</v>
      </c>
    </row>
    <row r="3" spans="1:9" s="19" customFormat="1" ht="11.25">
      <c r="A3" s="272"/>
      <c r="B3" s="282"/>
      <c r="C3" s="282"/>
      <c r="D3" s="283"/>
      <c r="E3" s="284"/>
      <c r="F3" s="283"/>
      <c r="G3" s="283"/>
      <c r="H3" s="283"/>
      <c r="I3" s="274"/>
    </row>
    <row r="4" spans="1:9" s="19" customFormat="1" ht="11.25">
      <c r="A4" s="246" t="s">
        <v>68</v>
      </c>
      <c r="B4" s="178"/>
      <c r="C4" s="178"/>
      <c r="D4" s="179"/>
      <c r="E4" s="180"/>
      <c r="F4" s="179"/>
      <c r="G4" s="179"/>
      <c r="H4" s="182">
        <f>+PrepYear!H4</f>
        <v>400</v>
      </c>
      <c r="I4" s="248">
        <f>SUM(F4:H4)+D4</f>
        <v>400</v>
      </c>
    </row>
    <row r="5" spans="1:9" s="19" customFormat="1" ht="11.25">
      <c r="A5" s="249" t="s">
        <v>69</v>
      </c>
      <c r="B5" s="184"/>
      <c r="C5" s="184">
        <f>+PrepYear!C5</f>
        <v>3.2</v>
      </c>
      <c r="D5" s="181"/>
      <c r="E5" s="185"/>
      <c r="F5" s="183">
        <f>+PrepYear!F5</f>
        <v>224</v>
      </c>
      <c r="G5" s="186"/>
      <c r="H5" s="186"/>
      <c r="I5" s="248">
        <f>SUM(F5:H5)+D5</f>
        <v>224</v>
      </c>
    </row>
    <row r="6" spans="1:9" s="19" customFormat="1" ht="11.25">
      <c r="A6" s="249" t="s">
        <v>70</v>
      </c>
      <c r="B6" s="184"/>
      <c r="C6" s="184"/>
      <c r="D6" s="181"/>
      <c r="E6" s="185"/>
      <c r="F6" s="183"/>
      <c r="G6" s="186">
        <f>+PrepYear!G6</f>
        <v>105</v>
      </c>
      <c r="H6" s="186"/>
      <c r="I6" s="248">
        <f>SUM(F6:H6)+D6</f>
        <v>105</v>
      </c>
    </row>
    <row r="7" spans="1:9" s="19" customFormat="1" ht="11.25">
      <c r="A7" s="249" t="s">
        <v>71</v>
      </c>
      <c r="B7" s="184"/>
      <c r="C7" s="184"/>
      <c r="D7" s="183"/>
      <c r="E7" s="185"/>
      <c r="F7" s="183"/>
      <c r="G7" s="186"/>
      <c r="H7" s="183">
        <f>+PrepYear!H7</f>
        <v>35</v>
      </c>
      <c r="I7" s="248">
        <f>SUM(F7:H7)+D7</f>
        <v>35</v>
      </c>
    </row>
    <row r="8" spans="1:9" s="19" customFormat="1" ht="11.25">
      <c r="A8" s="249" t="s">
        <v>72</v>
      </c>
      <c r="B8" s="184">
        <f>+PrepYear!B8</f>
        <v>1</v>
      </c>
      <c r="C8" s="184"/>
      <c r="D8" s="187">
        <f>+PrepYear!D8</f>
        <v>15</v>
      </c>
      <c r="E8" s="185"/>
      <c r="F8" s="183"/>
      <c r="G8" s="186"/>
      <c r="H8" s="183">
        <f>+PrepYear!H8</f>
        <v>15</v>
      </c>
      <c r="I8" s="248">
        <f>SUM(F8:H8)+D8</f>
        <v>30</v>
      </c>
    </row>
    <row r="9" spans="1:9" s="20" customFormat="1" ht="11.25">
      <c r="A9" s="316"/>
      <c r="B9" s="317"/>
      <c r="C9" s="317"/>
      <c r="D9" s="318"/>
      <c r="E9" s="319"/>
      <c r="F9" s="318"/>
      <c r="G9" s="318"/>
      <c r="H9" s="318"/>
      <c r="I9" s="320"/>
    </row>
    <row r="10" spans="1:9" s="19" customFormat="1" ht="11.25">
      <c r="A10" s="267"/>
      <c r="B10" s="321"/>
      <c r="C10" s="321"/>
      <c r="D10" s="269"/>
      <c r="E10" s="270"/>
      <c r="F10" s="269"/>
      <c r="G10" s="269"/>
      <c r="H10" s="269"/>
      <c r="I10" s="271"/>
    </row>
    <row r="11" spans="1:9" s="19" customFormat="1" ht="11.25">
      <c r="A11" s="255" t="s">
        <v>49</v>
      </c>
      <c r="B11" s="256">
        <f>SUM(B3:B9)</f>
        <v>1</v>
      </c>
      <c r="C11" s="256">
        <f>SUM(C3:C9)</f>
        <v>3.2</v>
      </c>
      <c r="D11" s="257">
        <f>SUM(D3:D9)</f>
        <v>15</v>
      </c>
      <c r="E11" s="258"/>
      <c r="F11" s="257">
        <f>SUM(F3:F9)</f>
        <v>224</v>
      </c>
      <c r="G11" s="257">
        <f>SUM(G3:G9)</f>
        <v>105</v>
      </c>
      <c r="H11" s="257">
        <f>SUM(H3:H9)</f>
        <v>450</v>
      </c>
      <c r="I11" s="259">
        <f>SUM(I3:I9)</f>
        <v>794</v>
      </c>
    </row>
    <row r="12" spans="1:9" s="19" customFormat="1" ht="11.25">
      <c r="A12" s="253" t="s">
        <v>357</v>
      </c>
      <c r="B12" s="188"/>
      <c r="C12" s="188"/>
      <c r="D12" s="183"/>
      <c r="E12" s="189"/>
      <c r="F12" s="183"/>
      <c r="G12" s="183"/>
      <c r="H12" s="183"/>
      <c r="I12" s="248"/>
    </row>
    <row r="13" spans="1:9" s="19" customFormat="1" ht="11.25">
      <c r="A13" s="253" t="s">
        <v>124</v>
      </c>
      <c r="B13" s="188"/>
      <c r="C13" s="188"/>
      <c r="D13" s="183"/>
      <c r="E13" s="189"/>
      <c r="F13" s="183"/>
      <c r="G13" s="183"/>
      <c r="H13" s="183"/>
      <c r="I13" s="248"/>
    </row>
    <row r="14" spans="1:9" s="19" customFormat="1" ht="11.25">
      <c r="A14" s="253" t="s">
        <v>125</v>
      </c>
      <c r="B14" s="188"/>
      <c r="C14" s="188"/>
      <c r="D14" s="183"/>
      <c r="E14" s="189"/>
      <c r="F14" s="183"/>
      <c r="G14" s="183"/>
      <c r="H14" s="183"/>
      <c r="I14" s="248"/>
    </row>
    <row r="15" spans="1:9" s="19" customFormat="1" ht="11.25">
      <c r="A15" s="253"/>
      <c r="B15" s="188"/>
      <c r="C15" s="188"/>
      <c r="D15" s="183"/>
      <c r="E15" s="189"/>
      <c r="F15" s="183"/>
      <c r="G15" s="183"/>
      <c r="H15" s="183"/>
      <c r="I15" s="248"/>
    </row>
    <row r="16" spans="1:9" s="19" customFormat="1" ht="11.25">
      <c r="A16" s="295"/>
      <c r="B16" s="296"/>
      <c r="C16" s="296"/>
      <c r="D16" s="297"/>
      <c r="E16" s="293"/>
      <c r="F16" s="297"/>
      <c r="G16" s="297"/>
      <c r="H16" s="297"/>
      <c r="I16" s="298"/>
    </row>
    <row r="17" spans="1:9" ht="20.25">
      <c r="A17" s="1320" t="s">
        <v>76</v>
      </c>
      <c r="B17" s="1320"/>
      <c r="C17" s="1320"/>
      <c r="D17" s="1320"/>
      <c r="E17" s="1320"/>
      <c r="F17" s="1320"/>
      <c r="G17" s="1320"/>
      <c r="H17" s="1320"/>
      <c r="I17" s="1320"/>
    </row>
    <row r="18" spans="1:9" s="173" customFormat="1" ht="11.25">
      <c r="A18" s="174" t="s">
        <v>46</v>
      </c>
      <c r="B18" s="175" t="s">
        <v>632</v>
      </c>
      <c r="C18" s="175" t="s">
        <v>631</v>
      </c>
      <c r="D18" s="176" t="s">
        <v>626</v>
      </c>
      <c r="E18" s="177" t="s">
        <v>627</v>
      </c>
      <c r="F18" s="176" t="s">
        <v>628</v>
      </c>
      <c r="G18" s="176" t="s">
        <v>629</v>
      </c>
      <c r="H18" s="176" t="s">
        <v>630</v>
      </c>
      <c r="I18" s="176" t="s">
        <v>271</v>
      </c>
    </row>
    <row r="19" spans="1:9" s="22" customFormat="1" ht="11.25">
      <c r="A19" s="285"/>
      <c r="B19" s="286"/>
      <c r="C19" s="286"/>
      <c r="D19" s="287"/>
      <c r="E19" s="288"/>
      <c r="F19" s="287"/>
      <c r="G19" s="287"/>
      <c r="H19" s="287"/>
      <c r="I19" s="289"/>
    </row>
    <row r="20" spans="1:9" s="23" customFormat="1">
      <c r="A20" s="250" t="s">
        <v>77</v>
      </c>
      <c r="B20" s="190"/>
      <c r="C20" s="190"/>
      <c r="D20" s="191"/>
      <c r="E20" s="192"/>
      <c r="F20" s="193"/>
      <c r="G20" s="193"/>
      <c r="H20" s="193"/>
      <c r="I20" s="275"/>
    </row>
    <row r="21" spans="1:9" s="23" customFormat="1" ht="11.25">
      <c r="A21" s="253" t="s">
        <v>78</v>
      </c>
      <c r="B21" s="194">
        <v>0.5</v>
      </c>
      <c r="C21" s="195">
        <f>B21</f>
        <v>0.5</v>
      </c>
      <c r="D21" s="187">
        <f>B21*LaborSkill</f>
        <v>7.5</v>
      </c>
      <c r="E21" s="196">
        <v>2</v>
      </c>
      <c r="F21" s="187">
        <f>IF(E21&gt;0,VLOOKUP(E21,EquipCost,15)*C21,0)</f>
        <v>11.855</v>
      </c>
      <c r="G21" s="197"/>
      <c r="H21" s="197"/>
      <c r="I21" s="251">
        <f>SUM(F21:H21)+D21</f>
        <v>19.355</v>
      </c>
    </row>
    <row r="22" spans="1:9" s="23" customFormat="1" ht="11.25">
      <c r="A22" s="253" t="s">
        <v>79</v>
      </c>
      <c r="B22" s="194"/>
      <c r="C22" s="195">
        <f>B21</f>
        <v>0.5</v>
      </c>
      <c r="D22" s="187"/>
      <c r="E22" s="196">
        <v>8</v>
      </c>
      <c r="F22" s="187">
        <f>IF(E22&gt;0,VLOOKUP(E22,EquipCost,15)*C22,0)</f>
        <v>2.2238888888888888</v>
      </c>
      <c r="G22" s="197"/>
      <c r="H22" s="197"/>
      <c r="I22" s="251">
        <f>SUM(F22:H22)+D22</f>
        <v>2.2238888888888888</v>
      </c>
    </row>
    <row r="23" spans="1:9" s="23" customFormat="1" ht="11.25">
      <c r="A23" s="253" t="s">
        <v>78</v>
      </c>
      <c r="B23" s="194">
        <v>0.3</v>
      </c>
      <c r="C23" s="195">
        <f>B23</f>
        <v>0.3</v>
      </c>
      <c r="D23" s="187">
        <f>B23*LaborSkill</f>
        <v>4.5</v>
      </c>
      <c r="E23" s="196">
        <v>2</v>
      </c>
      <c r="F23" s="187">
        <f>IF(E23&gt;0,VLOOKUP(E23,EquipCost,15)*C23,0)</f>
        <v>7.1130000000000004</v>
      </c>
      <c r="G23" s="197"/>
      <c r="H23" s="197"/>
      <c r="I23" s="251">
        <f>SUM(F23:H23)+D23</f>
        <v>11.613</v>
      </c>
    </row>
    <row r="24" spans="1:9" s="23" customFormat="1" ht="11.25">
      <c r="A24" s="253" t="s">
        <v>80</v>
      </c>
      <c r="B24" s="194"/>
      <c r="C24" s="195">
        <f>B23</f>
        <v>0.3</v>
      </c>
      <c r="D24" s="187"/>
      <c r="E24" s="196">
        <v>9</v>
      </c>
      <c r="F24" s="187">
        <f>IF(E24&gt;0,VLOOKUP(E24,EquipCost,15)*C24,0)</f>
        <v>1.6300000000000001</v>
      </c>
      <c r="G24" s="197"/>
      <c r="H24" s="197"/>
      <c r="I24" s="251">
        <f>SUM(F24:H24)+D24</f>
        <v>1.6300000000000001</v>
      </c>
    </row>
    <row r="25" spans="1:9" s="23" customFormat="1" ht="11.25">
      <c r="A25" s="253" t="s">
        <v>81</v>
      </c>
      <c r="B25" s="194">
        <v>3</v>
      </c>
      <c r="C25" s="195">
        <f>B25</f>
        <v>3</v>
      </c>
      <c r="D25" s="187">
        <f>B25*LaborNoSkill</f>
        <v>27</v>
      </c>
      <c r="E25" s="196">
        <v>15</v>
      </c>
      <c r="F25" s="187">
        <f>IF(E25&gt;0,VLOOKUP(E25,EquipCost,15)*C25,0)</f>
        <v>25.331249999999997</v>
      </c>
      <c r="G25" s="197"/>
      <c r="H25" s="197"/>
      <c r="I25" s="251">
        <f>SUM(F25:H25)+D25</f>
        <v>52.331249999999997</v>
      </c>
    </row>
    <row r="26" spans="1:9" s="23" customFormat="1" ht="11.25">
      <c r="A26" s="250" t="s">
        <v>82</v>
      </c>
      <c r="B26" s="194"/>
      <c r="C26" s="195"/>
      <c r="D26" s="187"/>
      <c r="E26" s="196"/>
      <c r="F26" s="187"/>
      <c r="G26" s="197"/>
      <c r="H26" s="197"/>
      <c r="I26" s="251"/>
    </row>
    <row r="27" spans="1:9" s="23" customFormat="1" ht="11.25">
      <c r="A27" s="253" t="s">
        <v>83</v>
      </c>
      <c r="B27" s="194">
        <v>0.5</v>
      </c>
      <c r="C27" s="195">
        <f>B27</f>
        <v>0.5</v>
      </c>
      <c r="D27" s="187">
        <f>B27*LaborSkill</f>
        <v>7.5</v>
      </c>
      <c r="E27" s="196">
        <v>1</v>
      </c>
      <c r="F27" s="187">
        <f>IF(E27&gt;0,VLOOKUP(E27,EquipCost,15)*C27,0)</f>
        <v>7.6260000000000003</v>
      </c>
      <c r="G27" s="197"/>
      <c r="H27" s="197"/>
      <c r="I27" s="251">
        <f>SUM(F27:H27)+D27</f>
        <v>15.126000000000001</v>
      </c>
    </row>
    <row r="28" spans="1:9" s="23" customFormat="1" ht="11.25">
      <c r="A28" s="253" t="s">
        <v>84</v>
      </c>
      <c r="B28" s="194">
        <v>0.5</v>
      </c>
      <c r="C28" s="195">
        <v>0.5</v>
      </c>
      <c r="D28" s="187">
        <f>B28*LaborSkill</f>
        <v>7.5</v>
      </c>
      <c r="E28" s="196">
        <v>1</v>
      </c>
      <c r="F28" s="187">
        <f>IF(E28&gt;0,VLOOKUP(E28,EquipCost,15)*C28,0)</f>
        <v>7.6260000000000003</v>
      </c>
      <c r="G28" s="198"/>
      <c r="H28" s="198"/>
      <c r="I28" s="251">
        <f>SUM(F28:H28)+D28</f>
        <v>15.126000000000001</v>
      </c>
    </row>
    <row r="29" spans="1:9" s="23" customFormat="1" ht="11.25">
      <c r="A29" s="253" t="s">
        <v>85</v>
      </c>
      <c r="B29" s="194"/>
      <c r="C29" s="195"/>
      <c r="D29" s="187"/>
      <c r="E29" s="196"/>
      <c r="F29" s="187"/>
      <c r="G29" s="187">
        <f>SSTree*TreeCost</f>
        <v>9075</v>
      </c>
      <c r="H29" s="198"/>
      <c r="I29" s="251">
        <f>SUM(F29:H29)+D29</f>
        <v>9075</v>
      </c>
    </row>
    <row r="30" spans="1:9" s="23" customFormat="1" ht="11.25">
      <c r="A30" s="253" t="s">
        <v>86</v>
      </c>
      <c r="B30" s="194"/>
      <c r="C30" s="195"/>
      <c r="D30" s="187"/>
      <c r="E30" s="196"/>
      <c r="F30" s="187"/>
      <c r="G30" s="198"/>
      <c r="H30" s="187">
        <f>SSTree*CustomPlant</f>
        <v>363</v>
      </c>
      <c r="I30" s="251">
        <f>SUM(F30:H30)+D30</f>
        <v>363</v>
      </c>
    </row>
    <row r="31" spans="1:9" s="21" customFormat="1" ht="11.25">
      <c r="A31" s="250" t="s">
        <v>122</v>
      </c>
      <c r="B31" s="188"/>
      <c r="C31" s="184"/>
      <c r="D31" s="187"/>
      <c r="E31" s="185"/>
      <c r="F31" s="187"/>
      <c r="G31" s="186"/>
      <c r="H31" s="183"/>
      <c r="I31" s="248"/>
    </row>
    <row r="32" spans="1:9" s="22" customFormat="1" ht="11.25">
      <c r="A32" s="253" t="s">
        <v>123</v>
      </c>
      <c r="B32" s="194">
        <v>40</v>
      </c>
      <c r="C32" s="195"/>
      <c r="D32" s="187">
        <f>B32*LaborNoSkill</f>
        <v>360</v>
      </c>
      <c r="E32" s="196"/>
      <c r="F32" s="187">
        <f>IF(E32&gt;0,VLOOKUP(E32,EquipCost,15)*C32,0)</f>
        <v>0</v>
      </c>
      <c r="G32" s="187">
        <f>+SSTrellis</f>
        <v>2136.7800476190482</v>
      </c>
      <c r="H32" s="187"/>
      <c r="I32" s="251">
        <f>SUM(F32:H32)+D32</f>
        <v>2496.7800476190482</v>
      </c>
    </row>
    <row r="33" spans="1:9" s="19" customFormat="1" ht="11.25">
      <c r="A33" s="253" t="s">
        <v>113</v>
      </c>
      <c r="B33" s="194">
        <v>8</v>
      </c>
      <c r="C33" s="194">
        <v>20</v>
      </c>
      <c r="D33" s="187">
        <f>B33*LaborNoSkill</f>
        <v>72</v>
      </c>
      <c r="E33" s="201">
        <v>17</v>
      </c>
      <c r="F33" s="187">
        <f>IF(E33&gt;0,VLOOKUP(E33,EquipCost,15)*C33,0)</f>
        <v>44</v>
      </c>
      <c r="G33" s="198">
        <f>+SSIrr</f>
        <v>1180.9712</v>
      </c>
      <c r="H33" s="187"/>
      <c r="I33" s="251">
        <f>SUM(F33:H33)+D33</f>
        <v>1296.9712</v>
      </c>
    </row>
    <row r="34" spans="1:9" s="19" customFormat="1" ht="11.25">
      <c r="A34" s="247" t="s">
        <v>89</v>
      </c>
      <c r="B34" s="188">
        <f>+SSTrain1</f>
        <v>150</v>
      </c>
      <c r="C34" s="188">
        <v>2</v>
      </c>
      <c r="D34" s="187">
        <f>B34*LaborNoSkill</f>
        <v>1350</v>
      </c>
      <c r="E34" s="185">
        <v>1</v>
      </c>
      <c r="F34" s="187">
        <f>IF(E34&gt;0,VLOOKUP(E34,EquipCost,15)*C34,0)</f>
        <v>30.504000000000001</v>
      </c>
      <c r="G34" s="186">
        <f>+SSTrainMat1</f>
        <v>80</v>
      </c>
      <c r="H34" s="186"/>
      <c r="I34" s="248">
        <f>SUM(F34:H34)+D34</f>
        <v>1460.5039999999999</v>
      </c>
    </row>
    <row r="35" spans="1:9" s="19" customFormat="1" ht="11.25">
      <c r="A35" s="247" t="s">
        <v>90</v>
      </c>
      <c r="B35" s="188">
        <f>+SSPrune1</f>
        <v>0</v>
      </c>
      <c r="C35" s="188">
        <f>+B35</f>
        <v>0</v>
      </c>
      <c r="D35" s="187">
        <f>B35*LaborNoSkill</f>
        <v>0</v>
      </c>
      <c r="E35" s="185">
        <v>18</v>
      </c>
      <c r="F35" s="187">
        <f>IF(E35&gt;0,VLOOKUP(E35,EquipCost,15)*C35,0)</f>
        <v>0</v>
      </c>
      <c r="G35" s="186"/>
      <c r="H35" s="186"/>
      <c r="I35" s="248">
        <f>SUM(F35:H35)+D35</f>
        <v>0</v>
      </c>
    </row>
    <row r="36" spans="1:9" s="21" customFormat="1" ht="11.25">
      <c r="A36" s="253" t="s">
        <v>91</v>
      </c>
      <c r="B36" s="199"/>
      <c r="C36" s="199"/>
      <c r="D36" s="200"/>
      <c r="E36" s="201"/>
      <c r="F36" s="187"/>
      <c r="G36" s="200"/>
      <c r="H36" s="200"/>
      <c r="I36" s="276">
        <f>SUM(F36:H36)+D36</f>
        <v>0</v>
      </c>
    </row>
    <row r="37" spans="1:9" s="23" customFormat="1" ht="11.25">
      <c r="A37" s="250" t="s">
        <v>92</v>
      </c>
      <c r="B37" s="194"/>
      <c r="C37" s="195"/>
      <c r="D37" s="187"/>
      <c r="E37" s="196"/>
      <c r="F37" s="187"/>
      <c r="G37" s="197"/>
      <c r="H37" s="197"/>
      <c r="I37" s="251"/>
    </row>
    <row r="38" spans="1:9" s="21" customFormat="1" ht="11.25">
      <c r="A38" s="253" t="s">
        <v>88</v>
      </c>
      <c r="B38" s="194">
        <f>+SSHerbTIme</f>
        <v>1.2800000000000002</v>
      </c>
      <c r="C38" s="195">
        <f>+B38</f>
        <v>1.2800000000000002</v>
      </c>
      <c r="D38" s="187">
        <f>B38*LaborSkill</f>
        <v>19.200000000000003</v>
      </c>
      <c r="E38" s="196">
        <v>3</v>
      </c>
      <c r="F38" s="187">
        <f>IF(E38&gt;0,VLOOKUP(E38,EquipCost,15)*C38,0)</f>
        <v>15.558400000000002</v>
      </c>
      <c r="G38" s="197"/>
      <c r="H38" s="197"/>
      <c r="I38" s="251">
        <f>SUM(F38:H38)+D38</f>
        <v>34.758400000000009</v>
      </c>
    </row>
    <row r="39" spans="1:9" s="21" customFormat="1" ht="11.25">
      <c r="A39" s="253" t="s">
        <v>93</v>
      </c>
      <c r="B39" s="194"/>
      <c r="C39" s="195">
        <f>+C38</f>
        <v>1.2800000000000002</v>
      </c>
      <c r="D39" s="187"/>
      <c r="E39" s="196">
        <v>5</v>
      </c>
      <c r="F39" s="187">
        <f>IF(E39&gt;0,VLOOKUP(E39,EquipCost,15)*C39,0)</f>
        <v>5.6725333333333348</v>
      </c>
      <c r="G39" s="197">
        <f>+SSHerb1</f>
        <v>8.4719866071428562</v>
      </c>
      <c r="H39" s="197"/>
      <c r="I39" s="251">
        <f>SUM(F39:H39)+D39</f>
        <v>14.14451994047619</v>
      </c>
    </row>
    <row r="40" spans="1:9" s="23" customFormat="1" ht="11.25">
      <c r="A40" s="250" t="s">
        <v>94</v>
      </c>
      <c r="B40" s="194"/>
      <c r="C40" s="195"/>
      <c r="D40" s="187"/>
      <c r="E40" s="196"/>
      <c r="F40" s="187"/>
      <c r="G40" s="197"/>
      <c r="H40" s="197"/>
      <c r="I40" s="251"/>
    </row>
    <row r="41" spans="1:9" s="21" customFormat="1" ht="11.25">
      <c r="A41" s="253" t="s">
        <v>95</v>
      </c>
      <c r="B41" s="194">
        <f>+TSSprayTime1</f>
        <v>0.18</v>
      </c>
      <c r="C41" s="195">
        <f>+B41</f>
        <v>0.18</v>
      </c>
      <c r="D41" s="187">
        <f>B41*LaborSkill</f>
        <v>2.6999999999999997</v>
      </c>
      <c r="E41" s="196">
        <v>2</v>
      </c>
      <c r="F41" s="187">
        <f>IF(E41&gt;0,VLOOKUP(E41,EquipCost,15)*C41,0)</f>
        <v>4.2678000000000003</v>
      </c>
      <c r="G41" s="197">
        <f>+SSSprayMat1</f>
        <v>30.957287388392853</v>
      </c>
      <c r="H41" s="197"/>
      <c r="I41" s="251">
        <f>SUM(F41:H41)+D41</f>
        <v>37.925087388392853</v>
      </c>
    </row>
    <row r="42" spans="1:9" s="21" customFormat="1" ht="11.25">
      <c r="A42" s="253" t="s">
        <v>96</v>
      </c>
      <c r="B42" s="194"/>
      <c r="C42" s="195">
        <f>+C41</f>
        <v>0.18</v>
      </c>
      <c r="D42" s="187"/>
      <c r="E42" s="196">
        <v>4</v>
      </c>
      <c r="F42" s="187">
        <f>IF(E42&gt;0,VLOOKUP(E42,EquipCost,15)*C42,0)</f>
        <v>1.8584999999999998</v>
      </c>
      <c r="G42" s="197"/>
      <c r="H42" s="197"/>
      <c r="I42" s="251">
        <f>SUM(F42:H42)+D42</f>
        <v>1.8584999999999998</v>
      </c>
    </row>
    <row r="43" spans="1:9" s="22" customFormat="1">
      <c r="A43" s="250" t="s">
        <v>97</v>
      </c>
      <c r="B43" s="194"/>
      <c r="C43" s="195"/>
      <c r="D43" s="187"/>
      <c r="E43" s="196"/>
      <c r="F43" s="187"/>
      <c r="G43" s="202"/>
      <c r="H43" s="197"/>
      <c r="I43" s="251">
        <f>SUM(F43:H43)+D43</f>
        <v>0</v>
      </c>
    </row>
    <row r="44" spans="1:9" s="22" customFormat="1" ht="11.25">
      <c r="A44" s="253" t="s">
        <v>88</v>
      </c>
      <c r="B44" s="194">
        <f>+SSFertTime1</f>
        <v>0.1</v>
      </c>
      <c r="C44" s="195">
        <f>+B44</f>
        <v>0.1</v>
      </c>
      <c r="D44" s="187">
        <f>B44*LaborNoSkill</f>
        <v>0.9</v>
      </c>
      <c r="E44" s="196">
        <v>3</v>
      </c>
      <c r="F44" s="187">
        <f>IF(E44&gt;0,VLOOKUP(E44,EquipCost,15)*C44,0)</f>
        <v>1.2155</v>
      </c>
      <c r="G44" s="187">
        <f>+SSFert1</f>
        <v>3.78125</v>
      </c>
      <c r="H44" s="197"/>
      <c r="I44" s="251">
        <f>SUM(F44:H44)+D44</f>
        <v>5.8967500000000008</v>
      </c>
    </row>
    <row r="45" spans="1:9" s="22" customFormat="1" ht="11.25">
      <c r="A45" s="253" t="s">
        <v>98</v>
      </c>
      <c r="B45" s="194"/>
      <c r="C45" s="195">
        <v>0.2</v>
      </c>
      <c r="D45" s="187"/>
      <c r="E45" s="196">
        <v>6</v>
      </c>
      <c r="F45" s="187">
        <f>IF(E45&gt;0,VLOOKUP(E45,EquipCost,15)*C45,0)</f>
        <v>0.62704761904761908</v>
      </c>
      <c r="G45" s="197"/>
      <c r="H45" s="197"/>
      <c r="I45" s="251">
        <f>SUM(F45:H45)+D45</f>
        <v>0.62704761904761908</v>
      </c>
    </row>
    <row r="46" spans="1:9" s="21" customFormat="1" ht="11.25">
      <c r="A46" s="250" t="s">
        <v>99</v>
      </c>
      <c r="B46" s="194"/>
      <c r="C46" s="195"/>
      <c r="D46" s="187"/>
      <c r="E46" s="196"/>
      <c r="F46" s="187"/>
      <c r="G46" s="197"/>
      <c r="H46" s="197"/>
      <c r="I46" s="251"/>
    </row>
    <row r="47" spans="1:9" s="19" customFormat="1" ht="11.25">
      <c r="A47" s="253" t="s">
        <v>88</v>
      </c>
      <c r="B47" s="194">
        <v>0.3</v>
      </c>
      <c r="C47" s="195">
        <f>0.3*3</f>
        <v>0.89999999999999991</v>
      </c>
      <c r="D47" s="187">
        <f>B47*LaborSkill</f>
        <v>4.5</v>
      </c>
      <c r="E47" s="196">
        <v>3</v>
      </c>
      <c r="F47" s="187">
        <f>IF(E47&gt;0,VLOOKUP(E47,EquipCost,15)*C47,0)</f>
        <v>10.939499999999999</v>
      </c>
      <c r="G47" s="197"/>
      <c r="H47" s="197"/>
      <c r="I47" s="251">
        <f>SUM(F47:H47)+D47</f>
        <v>15.439499999999999</v>
      </c>
    </row>
    <row r="48" spans="1:9" s="19" customFormat="1" ht="11.25">
      <c r="A48" s="253" t="s">
        <v>100</v>
      </c>
      <c r="B48" s="194"/>
      <c r="C48" s="195">
        <f>+B47</f>
        <v>0.3</v>
      </c>
      <c r="D48" s="187"/>
      <c r="E48" s="196">
        <v>6</v>
      </c>
      <c r="F48" s="187">
        <f>IF(E48&gt;0,VLOOKUP(E48,EquipCost,15)*C48,0)</f>
        <v>0.94057142857142861</v>
      </c>
      <c r="G48" s="197">
        <v>11</v>
      </c>
      <c r="H48" s="197"/>
      <c r="I48" s="251">
        <f>SUM(F48:H48)+D48</f>
        <v>11.940571428571429</v>
      </c>
    </row>
    <row r="49" spans="1:9" s="19" customFormat="1" ht="11.25">
      <c r="A49" s="253" t="s">
        <v>101</v>
      </c>
      <c r="B49" s="194">
        <v>0.3</v>
      </c>
      <c r="C49" s="195">
        <f>B49</f>
        <v>0.3</v>
      </c>
      <c r="D49" s="187">
        <f>B49*LaborNoSkill</f>
        <v>2.6999999999999997</v>
      </c>
      <c r="E49" s="196">
        <v>12</v>
      </c>
      <c r="F49" s="187">
        <f>IF(E49&gt;0,VLOOKUP(E49,EquipCost,15)*C49,0)</f>
        <v>2.1159999999999997</v>
      </c>
      <c r="G49" s="197"/>
      <c r="H49" s="197"/>
      <c r="I49" s="251">
        <f>SUM(F49:H49)+D49</f>
        <v>4.8159999999999989</v>
      </c>
    </row>
    <row r="50" spans="1:9" s="19" customFormat="1" ht="11.25">
      <c r="A50" s="253" t="s">
        <v>102</v>
      </c>
      <c r="B50" s="194">
        <v>0.3</v>
      </c>
      <c r="C50" s="195">
        <f>B50</f>
        <v>0.3</v>
      </c>
      <c r="D50" s="187">
        <f>B50*LaborNoSkill</f>
        <v>2.6999999999999997</v>
      </c>
      <c r="E50" s="196">
        <v>12</v>
      </c>
      <c r="F50" s="187">
        <f>IF(E50&gt;0,VLOOKUP(E50,EquipCost,15)*C50,0)</f>
        <v>2.1159999999999997</v>
      </c>
      <c r="G50" s="197"/>
      <c r="H50" s="197"/>
      <c r="I50" s="251">
        <f>SUM(F50:H50)+D50</f>
        <v>4.8159999999999989</v>
      </c>
    </row>
    <row r="51" spans="1:9" s="22" customFormat="1">
      <c r="A51" s="247" t="s">
        <v>103</v>
      </c>
      <c r="B51" s="203"/>
      <c r="C51" s="195"/>
      <c r="D51" s="187"/>
      <c r="E51" s="196"/>
      <c r="F51" s="187"/>
      <c r="G51" s="197"/>
      <c r="H51" s="197"/>
      <c r="I51" s="251"/>
    </row>
    <row r="52" spans="1:9" s="22" customFormat="1" ht="11.25">
      <c r="A52" s="249" t="s">
        <v>88</v>
      </c>
      <c r="B52" s="184">
        <f>+SSMowTime1</f>
        <v>0</v>
      </c>
      <c r="C52" s="188">
        <f>B52</f>
        <v>0</v>
      </c>
      <c r="D52" s="187">
        <f>+B52*LaborNoSkill</f>
        <v>0</v>
      </c>
      <c r="E52" s="185">
        <v>3</v>
      </c>
      <c r="F52" s="187">
        <f>IF(E52&gt;0,VLOOKUP(E52,EquipCost,15)*C52,0)</f>
        <v>0</v>
      </c>
      <c r="G52" s="186"/>
      <c r="H52" s="186"/>
      <c r="I52" s="248">
        <f>SUM(F52:H52)+D52</f>
        <v>0</v>
      </c>
    </row>
    <row r="53" spans="1:9" s="22" customFormat="1" ht="11.25">
      <c r="A53" s="246" t="s">
        <v>104</v>
      </c>
      <c r="B53" s="204"/>
      <c r="C53" s="188">
        <f>B52</f>
        <v>0</v>
      </c>
      <c r="D53" s="187"/>
      <c r="E53" s="185">
        <v>7</v>
      </c>
      <c r="F53" s="187">
        <f>IF(E53&gt;0,VLOOKUP(E53,EquipCost,15)*C53,0)</f>
        <v>0</v>
      </c>
      <c r="G53" s="186"/>
      <c r="H53" s="186"/>
      <c r="I53" s="248">
        <f>SUM(F53:H53)+D53</f>
        <v>0</v>
      </c>
    </row>
    <row r="54" spans="1:9" s="7" customFormat="1">
      <c r="A54" s="247" t="s">
        <v>105</v>
      </c>
      <c r="B54" s="184"/>
      <c r="C54" s="188"/>
      <c r="D54" s="187"/>
      <c r="E54" s="185"/>
      <c r="F54" s="187"/>
      <c r="G54" s="186"/>
      <c r="H54" s="186"/>
      <c r="I54" s="248"/>
    </row>
    <row r="55" spans="1:9" s="7" customFormat="1">
      <c r="A55" s="249" t="s">
        <v>88</v>
      </c>
      <c r="B55" s="194">
        <f>+SSBaitTIme1</f>
        <v>0.11764705882352941</v>
      </c>
      <c r="C55" s="188">
        <f>+B55</f>
        <v>0.11764705882352941</v>
      </c>
      <c r="D55" s="187">
        <f>+B55*LaborNoSkill</f>
        <v>1.0588235294117647</v>
      </c>
      <c r="E55" s="185">
        <v>3</v>
      </c>
      <c r="F55" s="187">
        <f>IF(E55&gt;0,VLOOKUP(E55,EquipCost,15)*C55,0)</f>
        <v>1.43</v>
      </c>
      <c r="G55" s="186"/>
      <c r="H55" s="186"/>
      <c r="I55" s="248">
        <f>SUM(F55:H55)+D55</f>
        <v>2.4888235294117647</v>
      </c>
    </row>
    <row r="56" spans="1:9" s="23" customFormat="1" ht="11.25">
      <c r="A56" s="249" t="s">
        <v>98</v>
      </c>
      <c r="B56" s="205"/>
      <c r="C56" s="195">
        <f>+B55</f>
        <v>0.11764705882352941</v>
      </c>
      <c r="D56" s="187"/>
      <c r="E56" s="196">
        <v>6</v>
      </c>
      <c r="F56" s="187">
        <f>IF(E56&gt;0,VLOOKUP(E56,EquipCost,15)*C56,0)</f>
        <v>0.36885154061624653</v>
      </c>
      <c r="G56" s="197">
        <f>+SSBait1</f>
        <v>5.5</v>
      </c>
      <c r="H56" s="197"/>
      <c r="I56" s="251">
        <f>SUM(F56:H56)+D56</f>
        <v>5.8688515406162463</v>
      </c>
    </row>
    <row r="57" spans="1:9" s="23" customFormat="1" ht="11.25">
      <c r="A57" s="253" t="s">
        <v>106</v>
      </c>
      <c r="B57" s="195"/>
      <c r="C57" s="195"/>
      <c r="D57" s="187"/>
      <c r="E57" s="201"/>
      <c r="F57" s="187"/>
      <c r="G57" s="187"/>
      <c r="H57" s="198"/>
      <c r="I57" s="251">
        <f>SUM(F57:G57)+D57</f>
        <v>0</v>
      </c>
    </row>
    <row r="58" spans="1:9" s="22" customFormat="1" ht="11.25">
      <c r="A58" s="253" t="s">
        <v>107</v>
      </c>
      <c r="B58" s="194">
        <v>0.3</v>
      </c>
      <c r="C58" s="195">
        <f>B58</f>
        <v>0.3</v>
      </c>
      <c r="D58" s="187">
        <f>B58*LaborNoSkill</f>
        <v>2.6999999999999997</v>
      </c>
      <c r="E58" s="196">
        <v>1</v>
      </c>
      <c r="F58" s="187">
        <f>IF(E58&gt;0,VLOOKUP(E58,EquipCost,15)*C58,0)</f>
        <v>4.5755999999999997</v>
      </c>
      <c r="G58" s="187">
        <f>+SSWild*SSTree</f>
        <v>36.299999999999997</v>
      </c>
      <c r="H58" s="197"/>
      <c r="I58" s="251">
        <f>SUM(F58:H58)+D58</f>
        <v>43.575600000000001</v>
      </c>
    </row>
    <row r="59" spans="1:9">
      <c r="A59" s="246" t="s">
        <v>108</v>
      </c>
      <c r="B59" s="206"/>
      <c r="C59" s="206"/>
      <c r="D59" s="181"/>
      <c r="E59" s="207"/>
      <c r="F59" s="181"/>
      <c r="G59" s="181"/>
      <c r="H59" s="181"/>
      <c r="I59" s="251">
        <f>SUM(F59:H59)+D59</f>
        <v>0</v>
      </c>
    </row>
    <row r="60" spans="1:9">
      <c r="A60" s="246" t="s">
        <v>109</v>
      </c>
      <c r="B60" s="206"/>
      <c r="C60" s="206"/>
      <c r="D60" s="181"/>
      <c r="E60" s="207"/>
      <c r="F60" s="181"/>
      <c r="G60" s="181"/>
      <c r="H60" s="181"/>
      <c r="I60" s="251">
        <f>SUM(F60:H60)+D60</f>
        <v>0</v>
      </c>
    </row>
    <row r="61" spans="1:9" s="19" customFormat="1" ht="11.25">
      <c r="A61" s="253" t="s">
        <v>71</v>
      </c>
      <c r="B61" s="194"/>
      <c r="C61" s="194"/>
      <c r="D61" s="187"/>
      <c r="E61" s="196"/>
      <c r="F61" s="187"/>
      <c r="G61" s="197"/>
      <c r="H61" s="187">
        <f>+RETax</f>
        <v>35</v>
      </c>
      <c r="I61" s="251">
        <f>SUM(F61:H61)+D61</f>
        <v>35</v>
      </c>
    </row>
    <row r="62" spans="1:9" s="19" customFormat="1" ht="11.25">
      <c r="A62" s="277" t="s">
        <v>72</v>
      </c>
      <c r="B62" s="278">
        <v>2</v>
      </c>
      <c r="C62" s="278"/>
      <c r="D62" s="262">
        <f>B62*LaborSkill</f>
        <v>30</v>
      </c>
      <c r="E62" s="279"/>
      <c r="F62" s="262">
        <f>IF(E62&gt;0,VLOOKUP(E62,EquipCost,15)*C62,0)</f>
        <v>0</v>
      </c>
      <c r="G62" s="280"/>
      <c r="H62" s="262">
        <f>+other</f>
        <v>12.5</v>
      </c>
      <c r="I62" s="281">
        <f>SUM(F62:H62)+D62</f>
        <v>42.5</v>
      </c>
    </row>
    <row r="63" spans="1:9" s="22" customFormat="1" ht="11.25">
      <c r="A63" s="267"/>
      <c r="B63" s="268"/>
      <c r="C63" s="268"/>
      <c r="D63" s="269"/>
      <c r="E63" s="270"/>
      <c r="F63" s="269"/>
      <c r="G63" s="269"/>
      <c r="H63" s="269"/>
      <c r="I63" s="271"/>
    </row>
    <row r="64" spans="1:9" s="22" customFormat="1" ht="11.25">
      <c r="A64" s="255" t="s">
        <v>49</v>
      </c>
      <c r="B64" s="256">
        <f>SUM(B19:B63)</f>
        <v>207.6776470588236</v>
      </c>
      <c r="C64" s="256">
        <f>SUM(C19:C63)</f>
        <v>33.155294117647053</v>
      </c>
      <c r="D64" s="257">
        <f>SUM(D19:D63)</f>
        <v>1902.458823529412</v>
      </c>
      <c r="E64" s="258"/>
      <c r="F64" s="257">
        <f>SUM(F19:F63)</f>
        <v>189.59544281045751</v>
      </c>
      <c r="G64" s="257">
        <f>SUM(G19:G63)</f>
        <v>12568.761771614583</v>
      </c>
      <c r="H64" s="257">
        <f>SUM(H19:H63)</f>
        <v>410.5</v>
      </c>
      <c r="I64" s="259">
        <f>SUM(I19:I63)</f>
        <v>15071.316037954455</v>
      </c>
    </row>
    <row r="65" spans="1:9" s="22" customFormat="1" ht="20.25">
      <c r="A65" s="1349" t="s">
        <v>641</v>
      </c>
      <c r="B65" s="1350"/>
      <c r="C65" s="1350"/>
      <c r="D65" s="1350"/>
      <c r="E65" s="1350"/>
      <c r="F65" s="1350"/>
      <c r="G65" s="1350"/>
      <c r="H65" s="1350"/>
      <c r="I65" s="1351"/>
    </row>
    <row r="66" spans="1:9" s="173" customFormat="1" ht="11.25">
      <c r="A66" s="174" t="s">
        <v>46</v>
      </c>
      <c r="B66" s="175" t="s">
        <v>632</v>
      </c>
      <c r="C66" s="175" t="s">
        <v>631</v>
      </c>
      <c r="D66" s="176" t="s">
        <v>626</v>
      </c>
      <c r="E66" s="177" t="s">
        <v>627</v>
      </c>
      <c r="F66" s="176" t="s">
        <v>628</v>
      </c>
      <c r="G66" s="176" t="s">
        <v>629</v>
      </c>
      <c r="H66" s="176" t="s">
        <v>630</v>
      </c>
      <c r="I66" s="176" t="s">
        <v>271</v>
      </c>
    </row>
    <row r="67" spans="1:9">
      <c r="A67" s="299"/>
      <c r="B67" s="290"/>
      <c r="C67" s="290"/>
      <c r="D67" s="291"/>
      <c r="E67" s="292"/>
      <c r="F67" s="291"/>
      <c r="G67" s="291"/>
      <c r="H67" s="291"/>
      <c r="I67" s="294"/>
    </row>
    <row r="68" spans="1:9" s="7" customFormat="1">
      <c r="A68" s="247" t="s">
        <v>89</v>
      </c>
      <c r="B68" s="188">
        <f>+SSTrain2</f>
        <v>20</v>
      </c>
      <c r="C68" s="188">
        <v>2</v>
      </c>
      <c r="D68" s="187">
        <f>B68*LaborNoSkill</f>
        <v>180</v>
      </c>
      <c r="E68" s="185">
        <v>1</v>
      </c>
      <c r="F68" s="187">
        <f>IF(E68&gt;0,VLOOKUP(E68,EquipCost,15)*C68,0)</f>
        <v>30.504000000000001</v>
      </c>
      <c r="G68" s="186">
        <f>+SSTrainMat2</f>
        <v>10</v>
      </c>
      <c r="H68" s="186"/>
      <c r="I68" s="248">
        <f>SUM(F68:H68)+D68</f>
        <v>220.50400000000002</v>
      </c>
    </row>
    <row r="69" spans="1:9" s="7" customFormat="1">
      <c r="A69" s="247" t="s">
        <v>90</v>
      </c>
      <c r="B69" s="188">
        <f>+SSPrune2</f>
        <v>0</v>
      </c>
      <c r="C69" s="188">
        <f>+B69</f>
        <v>0</v>
      </c>
      <c r="D69" s="187">
        <f>B69*LaborNoSkill</f>
        <v>0</v>
      </c>
      <c r="E69" s="185">
        <v>18</v>
      </c>
      <c r="F69" s="187">
        <f>IF(E69&gt;0,VLOOKUP(E69,EquipCost,15)*C69,0)</f>
        <v>0</v>
      </c>
      <c r="G69" s="186"/>
      <c r="H69" s="186"/>
      <c r="I69" s="248">
        <f>SUM(F69:H69)+D69</f>
        <v>0</v>
      </c>
    </row>
    <row r="70" spans="1:9" s="7" customFormat="1">
      <c r="A70" s="249" t="s">
        <v>110</v>
      </c>
      <c r="B70" s="188">
        <v>0</v>
      </c>
      <c r="C70" s="188">
        <f>+B70</f>
        <v>0</v>
      </c>
      <c r="D70" s="187">
        <f>B70*LaborSkill</f>
        <v>0</v>
      </c>
      <c r="E70" s="185">
        <v>3</v>
      </c>
      <c r="F70" s="187">
        <f>IF(E70&gt;0,VLOOKUP(E70,EquipCost,15)*C70,0)</f>
        <v>0</v>
      </c>
      <c r="G70" s="186"/>
      <c r="H70" s="186"/>
      <c r="I70" s="248">
        <f>SUM(F70:H70)+D70</f>
        <v>0</v>
      </c>
    </row>
    <row r="71" spans="1:9" s="7" customFormat="1">
      <c r="A71" s="249" t="s">
        <v>111</v>
      </c>
      <c r="B71" s="184">
        <f>0.0333333333333333*SSTree*0.05</f>
        <v>2.0166666666666648</v>
      </c>
      <c r="C71" s="188">
        <f>B71</f>
        <v>2.0166666666666648</v>
      </c>
      <c r="D71" s="187">
        <f>B71*LaborNoSkill</f>
        <v>18.149999999999984</v>
      </c>
      <c r="E71" s="185">
        <v>1</v>
      </c>
      <c r="F71" s="187">
        <f>IF(E71&gt;0,VLOOKUP(E71,EquipCost,15)*C71,0)</f>
        <v>30.758199999999974</v>
      </c>
      <c r="G71" s="183">
        <f>+SSTree*TreeCost*0.05</f>
        <v>453.75</v>
      </c>
      <c r="H71" s="186"/>
      <c r="I71" s="248">
        <f>SUM(F71:H71)+D71</f>
        <v>502.65819999999997</v>
      </c>
    </row>
    <row r="72" spans="1:9" s="7" customFormat="1">
      <c r="A72" s="250" t="s">
        <v>92</v>
      </c>
      <c r="B72" s="194"/>
      <c r="C72" s="195"/>
      <c r="D72" s="187"/>
      <c r="E72" s="196"/>
      <c r="F72" s="187"/>
      <c r="G72" s="197"/>
      <c r="H72" s="197"/>
      <c r="I72" s="251"/>
    </row>
    <row r="73" spans="1:9" s="7" customFormat="1">
      <c r="A73" s="252" t="s">
        <v>88</v>
      </c>
      <c r="B73" s="194">
        <f>+SSHerbTIme</f>
        <v>1.2800000000000002</v>
      </c>
      <c r="C73" s="195">
        <f>+B73</f>
        <v>1.2800000000000002</v>
      </c>
      <c r="D73" s="187">
        <f>B73*LaborSkill</f>
        <v>19.200000000000003</v>
      </c>
      <c r="E73" s="196">
        <v>3</v>
      </c>
      <c r="F73" s="187">
        <f>IF(E73&gt;0,VLOOKUP(E73,EquipCost,15)*C73,0)</f>
        <v>15.558400000000002</v>
      </c>
      <c r="G73" s="197"/>
      <c r="H73" s="197"/>
      <c r="I73" s="251">
        <f>SUM(F73:H73)+D73</f>
        <v>34.758400000000009</v>
      </c>
    </row>
    <row r="74" spans="1:9" s="7" customFormat="1">
      <c r="A74" s="253" t="s">
        <v>93</v>
      </c>
      <c r="B74" s="194"/>
      <c r="C74" s="195">
        <f>+C73</f>
        <v>1.2800000000000002</v>
      </c>
      <c r="D74" s="187"/>
      <c r="E74" s="196">
        <v>5</v>
      </c>
      <c r="F74" s="187">
        <f>IF(E74&gt;0,VLOOKUP(E74,EquipCost,15)*C74,0)</f>
        <v>5.6725333333333348</v>
      </c>
      <c r="G74" s="197">
        <f>+SSHerb2</f>
        <v>10.433387152777776</v>
      </c>
      <c r="H74" s="197"/>
      <c r="I74" s="251">
        <f>SUM(F74:H74)+D74</f>
        <v>16.10592048611111</v>
      </c>
    </row>
    <row r="75" spans="1:9" s="7" customFormat="1">
      <c r="A75" s="250" t="s">
        <v>94</v>
      </c>
      <c r="B75" s="194"/>
      <c r="C75" s="195"/>
      <c r="D75" s="187"/>
      <c r="E75" s="196"/>
      <c r="F75" s="187"/>
      <c r="G75" s="197"/>
      <c r="H75" s="197"/>
      <c r="I75" s="251"/>
    </row>
    <row r="76" spans="1:9" s="7" customFormat="1">
      <c r="A76" s="253" t="s">
        <v>95</v>
      </c>
      <c r="B76" s="194">
        <f>+TSSPrayTime2</f>
        <v>2.16</v>
      </c>
      <c r="C76" s="195">
        <f>+B76</f>
        <v>2.16</v>
      </c>
      <c r="D76" s="187">
        <f>B76*LaborSkill</f>
        <v>32.400000000000006</v>
      </c>
      <c r="E76" s="196">
        <v>2</v>
      </c>
      <c r="F76" s="187">
        <f>IF(E76&gt;0,VLOOKUP(E76,EquipCost,15)*C76,0)</f>
        <v>51.213600000000007</v>
      </c>
      <c r="G76" s="197">
        <f>+SSSprayMat2</f>
        <v>371.48744866071422</v>
      </c>
      <c r="H76" s="197"/>
      <c r="I76" s="251">
        <f>SUM(F76:H76)+D76</f>
        <v>455.10104866071424</v>
      </c>
    </row>
    <row r="77" spans="1:9" s="7" customFormat="1">
      <c r="A77" s="253" t="s">
        <v>96</v>
      </c>
      <c r="B77" s="194"/>
      <c r="C77" s="195">
        <f>+C76</f>
        <v>2.16</v>
      </c>
      <c r="D77" s="187"/>
      <c r="E77" s="196">
        <v>4</v>
      </c>
      <c r="F77" s="187">
        <f>IF(E77&gt;0,VLOOKUP(E77,EquipCost,15)*C77,0)</f>
        <v>22.302</v>
      </c>
      <c r="G77" s="197"/>
      <c r="H77" s="197"/>
      <c r="I77" s="251">
        <f>SUM(F77:H77)+D77</f>
        <v>22.302</v>
      </c>
    </row>
    <row r="78" spans="1:9" s="7" customFormat="1">
      <c r="A78" s="247" t="s">
        <v>112</v>
      </c>
      <c r="B78" s="184"/>
      <c r="C78" s="188"/>
      <c r="D78" s="187"/>
      <c r="E78" s="185"/>
      <c r="F78" s="187"/>
      <c r="G78" s="183"/>
      <c r="H78" s="181"/>
      <c r="I78" s="248"/>
    </row>
    <row r="79" spans="1:9" s="7" customFormat="1">
      <c r="A79" s="249" t="s">
        <v>88</v>
      </c>
      <c r="B79" s="194">
        <f>+SSFertTime2</f>
        <v>0.1</v>
      </c>
      <c r="C79" s="188">
        <v>0.3</v>
      </c>
      <c r="D79" s="187">
        <f>+B79*LaborNoSkill</f>
        <v>0.9</v>
      </c>
      <c r="E79" s="185">
        <v>3</v>
      </c>
      <c r="F79" s="187">
        <f>IF(E79&gt;0,VLOOKUP(E79,EquipCost,15)*C79,0)</f>
        <v>3.6464999999999996</v>
      </c>
      <c r="G79" s="186">
        <f>+SSFert2</f>
        <v>8.3187499999999996</v>
      </c>
      <c r="H79" s="186"/>
      <c r="I79" s="248">
        <f>SUM(F79:H79)+D79</f>
        <v>12.86525</v>
      </c>
    </row>
    <row r="80" spans="1:9" s="7" customFormat="1">
      <c r="A80" s="253" t="s">
        <v>98</v>
      </c>
      <c r="B80" s="203"/>
      <c r="C80" s="188">
        <f>+C79</f>
        <v>0.3</v>
      </c>
      <c r="D80" s="187"/>
      <c r="E80" s="185">
        <v>6</v>
      </c>
      <c r="F80" s="187">
        <f>IF(E80&gt;0,VLOOKUP(E80,EquipCost,15)*C80,0)</f>
        <v>0.94057142857142861</v>
      </c>
      <c r="G80" s="183"/>
      <c r="H80" s="186"/>
      <c r="I80" s="248">
        <f>SUM(F80:H80)+D80</f>
        <v>0.94057142857142861</v>
      </c>
    </row>
    <row r="81" spans="1:9" s="7" customFormat="1">
      <c r="A81" s="247" t="s">
        <v>103</v>
      </c>
      <c r="B81" s="203"/>
      <c r="C81" s="203"/>
      <c r="D81" s="208"/>
      <c r="E81" s="209"/>
      <c r="F81" s="208"/>
      <c r="G81" s="208"/>
      <c r="H81" s="208"/>
      <c r="I81" s="254"/>
    </row>
    <row r="82" spans="1:9" s="7" customFormat="1">
      <c r="A82" s="249" t="s">
        <v>88</v>
      </c>
      <c r="B82" s="184">
        <f>+SSMowTime2</f>
        <v>0.75</v>
      </c>
      <c r="C82" s="188">
        <f>B82</f>
        <v>0.75</v>
      </c>
      <c r="D82" s="187">
        <f>+B82*LaborNoSkill</f>
        <v>6.75</v>
      </c>
      <c r="E82" s="185">
        <v>3</v>
      </c>
      <c r="F82" s="187">
        <f>IF(E82&gt;0,VLOOKUP(E82,EquipCost,15)*C82,0)</f>
        <v>9.1162499999999991</v>
      </c>
      <c r="G82" s="186"/>
      <c r="H82" s="186"/>
      <c r="I82" s="248">
        <f>SUM(F82:H82)+D82</f>
        <v>15.866249999999999</v>
      </c>
    </row>
    <row r="83" spans="1:9" s="7" customFormat="1">
      <c r="A83" s="246" t="s">
        <v>104</v>
      </c>
      <c r="B83" s="203"/>
      <c r="C83" s="188">
        <f>B82</f>
        <v>0.75</v>
      </c>
      <c r="D83" s="187"/>
      <c r="E83" s="185">
        <v>7</v>
      </c>
      <c r="F83" s="187">
        <f>IF(E83&gt;0,VLOOKUP(E83,EquipCost,15)*C83,0)</f>
        <v>3.4946428571428574</v>
      </c>
      <c r="G83" s="186"/>
      <c r="H83" s="186"/>
      <c r="I83" s="248">
        <f>SUM(F83:H83)+D83</f>
        <v>3.4946428571428574</v>
      </c>
    </row>
    <row r="84" spans="1:9" s="7" customFormat="1">
      <c r="A84" s="247" t="s">
        <v>105</v>
      </c>
      <c r="B84" s="184"/>
      <c r="C84" s="188"/>
      <c r="D84" s="187"/>
      <c r="E84" s="185"/>
      <c r="F84" s="187"/>
      <c r="G84" s="186"/>
      <c r="H84" s="186"/>
      <c r="I84" s="248"/>
    </row>
    <row r="85" spans="1:9" s="7" customFormat="1">
      <c r="A85" s="249" t="s">
        <v>88</v>
      </c>
      <c r="B85" s="184">
        <f>+SSBaitTime3</f>
        <v>0.11764705882352941</v>
      </c>
      <c r="C85" s="188">
        <f>+B85</f>
        <v>0.11764705882352941</v>
      </c>
      <c r="D85" s="187">
        <f>B85*LaborNoSkill</f>
        <v>1.0588235294117647</v>
      </c>
      <c r="E85" s="185">
        <v>3</v>
      </c>
      <c r="F85" s="187">
        <f>IF(E85&gt;0,VLOOKUP(E85,EquipCost,15)*C85,0)</f>
        <v>1.43</v>
      </c>
      <c r="G85" s="186"/>
      <c r="H85" s="186"/>
      <c r="I85" s="248">
        <f t="shared" ref="I85:I92" si="0">SUM(F85:H85)+D85</f>
        <v>2.4888235294117647</v>
      </c>
    </row>
    <row r="86" spans="1:9" s="7" customFormat="1">
      <c r="A86" s="249" t="s">
        <v>98</v>
      </c>
      <c r="B86" s="184"/>
      <c r="C86" s="188">
        <f>+C85</f>
        <v>0.11764705882352941</v>
      </c>
      <c r="D86" s="187"/>
      <c r="E86" s="185">
        <v>6</v>
      </c>
      <c r="F86" s="187">
        <f>IF(E86&gt;0,VLOOKUP(E86,EquipCost,15)*C86,0)</f>
        <v>0.36885154061624653</v>
      </c>
      <c r="G86" s="186">
        <f>+SSBait3</f>
        <v>5.5</v>
      </c>
      <c r="H86" s="181"/>
      <c r="I86" s="248">
        <f t="shared" si="0"/>
        <v>5.8688515406162463</v>
      </c>
    </row>
    <row r="87" spans="1:9" s="7" customFormat="1">
      <c r="A87" s="249" t="s">
        <v>107</v>
      </c>
      <c r="B87" s="184">
        <v>2</v>
      </c>
      <c r="C87" s="188">
        <v>1</v>
      </c>
      <c r="D87" s="187">
        <f>B87*LaborNoSkill</f>
        <v>18</v>
      </c>
      <c r="E87" s="185">
        <v>1</v>
      </c>
      <c r="F87" s="187">
        <f>IF(E87&gt;0,VLOOKUP(E87,EquipCost,15)*C87,0)</f>
        <v>15.252000000000001</v>
      </c>
      <c r="G87" s="187">
        <f>+SSWild*SSTree</f>
        <v>36.299999999999997</v>
      </c>
      <c r="H87" s="181"/>
      <c r="I87" s="248">
        <f t="shared" si="0"/>
        <v>69.551999999999992</v>
      </c>
    </row>
    <row r="88" spans="1:9">
      <c r="A88" s="246" t="s">
        <v>108</v>
      </c>
      <c r="B88" s="206"/>
      <c r="C88" s="206"/>
      <c r="D88" s="181"/>
      <c r="E88" s="207"/>
      <c r="F88" s="181"/>
      <c r="G88" s="181"/>
      <c r="H88" s="181">
        <v>15</v>
      </c>
      <c r="I88" s="251">
        <f t="shared" si="0"/>
        <v>15</v>
      </c>
    </row>
    <row r="89" spans="1:9">
      <c r="A89" s="246" t="s">
        <v>109</v>
      </c>
      <c r="B89" s="206"/>
      <c r="C89" s="206"/>
      <c r="D89" s="181"/>
      <c r="E89" s="207"/>
      <c r="F89" s="181"/>
      <c r="G89" s="181"/>
      <c r="H89" s="181">
        <v>35</v>
      </c>
      <c r="I89" s="251">
        <f t="shared" si="0"/>
        <v>35</v>
      </c>
    </row>
    <row r="90" spans="1:9" s="7" customFormat="1">
      <c r="A90" s="249" t="s">
        <v>115</v>
      </c>
      <c r="B90" s="184">
        <v>0.5</v>
      </c>
      <c r="C90" s="184">
        <v>40</v>
      </c>
      <c r="D90" s="187">
        <f>B90*LaborNoSkill</f>
        <v>4.5</v>
      </c>
      <c r="E90" s="207">
        <v>17</v>
      </c>
      <c r="F90" s="187">
        <f>IF(E90&gt;0,VLOOKUP(E90,EquipCost,15)*C90,0)</f>
        <v>88</v>
      </c>
      <c r="G90" s="183"/>
      <c r="H90" s="181"/>
      <c r="I90" s="248">
        <f t="shared" si="0"/>
        <v>92.5</v>
      </c>
    </row>
    <row r="91" spans="1:9" s="7" customFormat="1">
      <c r="A91" s="249" t="s">
        <v>71</v>
      </c>
      <c r="B91" s="184"/>
      <c r="C91" s="184"/>
      <c r="D91" s="187">
        <f>B91*LaborNoSkill</f>
        <v>0</v>
      </c>
      <c r="E91" s="185"/>
      <c r="F91" s="187">
        <f>IF(E91&gt;0,VLOOKUP(E91,EquipCost,15)*C91,0)</f>
        <v>0</v>
      </c>
      <c r="G91" s="186"/>
      <c r="H91" s="183">
        <f>+RETax</f>
        <v>35</v>
      </c>
      <c r="I91" s="248">
        <f t="shared" si="0"/>
        <v>35</v>
      </c>
    </row>
    <row r="92" spans="1:9" s="7" customFormat="1">
      <c r="A92" s="260" t="s">
        <v>72</v>
      </c>
      <c r="B92" s="261"/>
      <c r="C92" s="261"/>
      <c r="D92" s="262">
        <f>B92*LaborNoSkill</f>
        <v>0</v>
      </c>
      <c r="E92" s="263"/>
      <c r="F92" s="262">
        <f>IF(E92&gt;0,VLOOKUP(E92,EquipCost,15)*C92,0)</f>
        <v>0</v>
      </c>
      <c r="G92" s="264"/>
      <c r="H92" s="265">
        <f>+other</f>
        <v>12.5</v>
      </c>
      <c r="I92" s="266">
        <f t="shared" si="0"/>
        <v>12.5</v>
      </c>
    </row>
    <row r="93" spans="1:9" s="7" customFormat="1">
      <c r="A93" s="267"/>
      <c r="B93" s="268"/>
      <c r="C93" s="268"/>
      <c r="D93" s="269"/>
      <c r="E93" s="270"/>
      <c r="F93" s="269"/>
      <c r="G93" s="269"/>
      <c r="H93" s="269"/>
      <c r="I93" s="271"/>
    </row>
    <row r="94" spans="1:9" s="7" customFormat="1">
      <c r="A94" s="255" t="s">
        <v>49</v>
      </c>
      <c r="B94" s="256">
        <f>SUM(B67:B93)</f>
        <v>28.924313725490197</v>
      </c>
      <c r="C94" s="256">
        <f>SUM(C67:C93)</f>
        <v>54.231960784313728</v>
      </c>
      <c r="D94" s="257">
        <f>SUM(D67:D93)</f>
        <v>280.95882352941175</v>
      </c>
      <c r="E94" s="258"/>
      <c r="F94" s="257">
        <f>SUM(F67:F93)</f>
        <v>278.25754915966388</v>
      </c>
      <c r="G94" s="257">
        <f>SUM(G67:G93)</f>
        <v>895.78958581349195</v>
      </c>
      <c r="H94" s="257">
        <f>SUM(H67:H93)</f>
        <v>97.5</v>
      </c>
      <c r="I94" s="259">
        <f>SUM(I67:I93)</f>
        <v>1552.5059585025679</v>
      </c>
    </row>
    <row r="95" spans="1:9" ht="20.25">
      <c r="A95" s="1320" t="s">
        <v>643</v>
      </c>
      <c r="B95" s="1320"/>
      <c r="C95" s="1320"/>
      <c r="D95" s="1320"/>
      <c r="E95" s="1320"/>
      <c r="F95" s="1320"/>
      <c r="G95" s="1320"/>
      <c r="H95" s="1320"/>
      <c r="I95" s="1320"/>
    </row>
    <row r="96" spans="1:9" s="173" customFormat="1" ht="11.25">
      <c r="A96" s="174" t="s">
        <v>46</v>
      </c>
      <c r="B96" s="175" t="s">
        <v>632</v>
      </c>
      <c r="C96" s="175" t="s">
        <v>631</v>
      </c>
      <c r="D96" s="176" t="s">
        <v>626</v>
      </c>
      <c r="E96" s="177" t="s">
        <v>627</v>
      </c>
      <c r="F96" s="176" t="s">
        <v>628</v>
      </c>
      <c r="G96" s="176" t="s">
        <v>629</v>
      </c>
      <c r="H96" s="176" t="s">
        <v>630</v>
      </c>
      <c r="I96" s="176" t="s">
        <v>271</v>
      </c>
    </row>
    <row r="97" spans="1:9">
      <c r="A97" s="272"/>
      <c r="B97" s="273"/>
      <c r="C97" s="273"/>
      <c r="D97" s="227"/>
      <c r="E97" s="228"/>
      <c r="F97" s="227"/>
      <c r="G97" s="227"/>
      <c r="H97" s="227"/>
      <c r="I97" s="274"/>
    </row>
    <row r="98" spans="1:9">
      <c r="A98" s="247" t="s">
        <v>89</v>
      </c>
      <c r="B98" s="188">
        <f>+SSTrain4</f>
        <v>5</v>
      </c>
      <c r="C98" s="188">
        <v>2</v>
      </c>
      <c r="D98" s="187">
        <f>B98*LaborNoSkill</f>
        <v>45</v>
      </c>
      <c r="E98" s="185">
        <v>1</v>
      </c>
      <c r="F98" s="187">
        <f>IF(E98&gt;0,VLOOKUP(E98,EquipCost,15)*C98,0)</f>
        <v>30.504000000000001</v>
      </c>
      <c r="G98" s="186">
        <f>+SSTrainMat4</f>
        <v>4</v>
      </c>
      <c r="H98" s="186"/>
      <c r="I98" s="248">
        <f>SUM(F98:H98)+D98</f>
        <v>79.504000000000005</v>
      </c>
    </row>
    <row r="99" spans="1:9">
      <c r="A99" s="247" t="s">
        <v>90</v>
      </c>
      <c r="B99" s="188">
        <f>+SSPrune4</f>
        <v>30.25</v>
      </c>
      <c r="C99" s="188">
        <f>+B99</f>
        <v>30.25</v>
      </c>
      <c r="D99" s="187">
        <f>B99*LaborNoSkill</f>
        <v>272.25</v>
      </c>
      <c r="E99" s="185">
        <v>18</v>
      </c>
      <c r="F99" s="187">
        <f>IF(E99&gt;0,VLOOKUP(E99,EquipCost,15)*C99,0)</f>
        <v>113.3165</v>
      </c>
      <c r="G99" s="186"/>
      <c r="H99" s="186"/>
      <c r="I99" s="248">
        <f>SUM(F99:H99)+D99</f>
        <v>385.56650000000002</v>
      </c>
    </row>
    <row r="100" spans="1:9">
      <c r="A100" s="249" t="s">
        <v>110</v>
      </c>
      <c r="B100" s="188">
        <v>2</v>
      </c>
      <c r="C100" s="188">
        <f>+B100</f>
        <v>2</v>
      </c>
      <c r="D100" s="187">
        <f>B100*LaborSkill</f>
        <v>30</v>
      </c>
      <c r="E100" s="185">
        <v>3</v>
      </c>
      <c r="F100" s="187">
        <f>IF(E100&gt;0,VLOOKUP(E100,EquipCost,15)*C100,0)</f>
        <v>24.31</v>
      </c>
      <c r="G100" s="186"/>
      <c r="H100" s="186"/>
      <c r="I100" s="248">
        <f>SUM(F100:H100)+D100</f>
        <v>54.31</v>
      </c>
    </row>
    <row r="101" spans="1:9">
      <c r="A101" s="249" t="s">
        <v>111</v>
      </c>
      <c r="B101" s="184">
        <v>0.5</v>
      </c>
      <c r="C101" s="188">
        <f>B101</f>
        <v>0.5</v>
      </c>
      <c r="D101" s="187">
        <f>B101*LaborNoSkill</f>
        <v>4.5</v>
      </c>
      <c r="E101" s="185">
        <v>1</v>
      </c>
      <c r="F101" s="187">
        <f>IF(E101&gt;0,VLOOKUP(E101,EquipCost,15)*C101,0)</f>
        <v>7.6260000000000003</v>
      </c>
      <c r="G101" s="183">
        <f>+SSTree*TreeCost*0.01</f>
        <v>90.75</v>
      </c>
      <c r="H101" s="186"/>
      <c r="I101" s="248">
        <f>SUM(F101:H101)+D101</f>
        <v>102.876</v>
      </c>
    </row>
    <row r="102" spans="1:9">
      <c r="A102" s="250" t="s">
        <v>92</v>
      </c>
      <c r="B102" s="194"/>
      <c r="C102" s="195"/>
      <c r="D102" s="187"/>
      <c r="E102" s="196"/>
      <c r="F102" s="187"/>
      <c r="G102" s="197"/>
      <c r="H102" s="197"/>
      <c r="I102" s="251"/>
    </row>
    <row r="103" spans="1:9" s="82" customFormat="1">
      <c r="A103" s="252" t="s">
        <v>88</v>
      </c>
      <c r="B103" s="194">
        <f>+SSHerbTIme</f>
        <v>1.2800000000000002</v>
      </c>
      <c r="C103" s="195">
        <f>+B103</f>
        <v>1.2800000000000002</v>
      </c>
      <c r="D103" s="187">
        <f>B103*LaborSkill</f>
        <v>19.200000000000003</v>
      </c>
      <c r="E103" s="196">
        <v>3</v>
      </c>
      <c r="F103" s="187">
        <f>IF(E103&gt;0,VLOOKUP(E103,EquipCost,15)*C103,0)</f>
        <v>15.558400000000002</v>
      </c>
      <c r="G103" s="197"/>
      <c r="H103" s="197"/>
      <c r="I103" s="251">
        <f>SUM(F103:H103)+D103</f>
        <v>34.758400000000009</v>
      </c>
    </row>
    <row r="104" spans="1:9" s="82" customFormat="1">
      <c r="A104" s="253" t="s">
        <v>93</v>
      </c>
      <c r="B104" s="194"/>
      <c r="C104" s="195">
        <f>+C103</f>
        <v>1.2800000000000002</v>
      </c>
      <c r="D104" s="187"/>
      <c r="E104" s="196">
        <v>5</v>
      </c>
      <c r="F104" s="187">
        <f>IF(E104&gt;0,VLOOKUP(E104,EquipCost,15)*C104,0)</f>
        <v>5.6725333333333348</v>
      </c>
      <c r="G104" s="197">
        <f>+SSHerb4</f>
        <v>14.825976562499999</v>
      </c>
      <c r="H104" s="197"/>
      <c r="I104" s="251">
        <f>SUM(F104:H104)+D104</f>
        <v>20.498509895833333</v>
      </c>
    </row>
    <row r="105" spans="1:9" s="7" customFormat="1">
      <c r="A105" s="250" t="s">
        <v>94</v>
      </c>
      <c r="B105" s="194"/>
      <c r="C105" s="195"/>
      <c r="D105" s="187"/>
      <c r="E105" s="196"/>
      <c r="F105" s="187"/>
      <c r="G105" s="197"/>
      <c r="H105" s="197"/>
      <c r="I105" s="251"/>
    </row>
    <row r="106" spans="1:9" s="7" customFormat="1">
      <c r="A106" s="253" t="s">
        <v>95</v>
      </c>
      <c r="B106" s="194">
        <f>+TSSprayTIme3</f>
        <v>3.6</v>
      </c>
      <c r="C106" s="195">
        <f>+B106</f>
        <v>3.6</v>
      </c>
      <c r="D106" s="187">
        <f>B106*LaborSkill</f>
        <v>54</v>
      </c>
      <c r="E106" s="196">
        <v>2</v>
      </c>
      <c r="F106" s="187">
        <f>IF(E106&gt;0,VLOOKUP(E106,EquipCost,15)*C106,0)</f>
        <v>85.356000000000009</v>
      </c>
      <c r="G106" s="197">
        <f>+SSSprayMat3</f>
        <v>619.14574776785707</v>
      </c>
      <c r="H106" s="197"/>
      <c r="I106" s="251">
        <f>SUM(F106:H106)+D106</f>
        <v>758.50174776785707</v>
      </c>
    </row>
    <row r="107" spans="1:9" s="7" customFormat="1">
      <c r="A107" s="253" t="s">
        <v>96</v>
      </c>
      <c r="B107" s="194"/>
      <c r="C107" s="195">
        <f>+C106</f>
        <v>3.6</v>
      </c>
      <c r="D107" s="187"/>
      <c r="E107" s="196">
        <v>4</v>
      </c>
      <c r="F107" s="187">
        <f>IF(E107&gt;0,VLOOKUP(E107,EquipCost,15)*C107,0)</f>
        <v>37.17</v>
      </c>
      <c r="G107" s="197"/>
      <c r="H107" s="197"/>
      <c r="I107" s="251">
        <f>SUM(F107:H107)+D107</f>
        <v>37.17</v>
      </c>
    </row>
    <row r="108" spans="1:9" s="7" customFormat="1">
      <c r="A108" s="247" t="s">
        <v>112</v>
      </c>
      <c r="B108" s="184"/>
      <c r="C108" s="188"/>
      <c r="D108" s="187"/>
      <c r="E108" s="185"/>
      <c r="F108" s="187"/>
      <c r="G108" s="183"/>
      <c r="H108" s="181"/>
      <c r="I108" s="248"/>
    </row>
    <row r="109" spans="1:9" s="7" customFormat="1">
      <c r="A109" s="253" t="s">
        <v>88</v>
      </c>
      <c r="B109" s="194">
        <f>+SSFertTime3</f>
        <v>0.1</v>
      </c>
      <c r="C109" s="195">
        <f>+B109</f>
        <v>0.1</v>
      </c>
      <c r="D109" s="187">
        <f>B109*LaborNoSkill</f>
        <v>0.9</v>
      </c>
      <c r="E109" s="196">
        <v>3</v>
      </c>
      <c r="F109" s="187">
        <f>IF(E109&gt;0,VLOOKUP(E109,EquipCost,15)*C109,0)</f>
        <v>1.2155</v>
      </c>
      <c r="G109" s="187">
        <f>+SSFert3</f>
        <v>15.314062499999999</v>
      </c>
      <c r="H109" s="197"/>
      <c r="I109" s="251">
        <f>SUM(F109:H109)+D109</f>
        <v>17.429562499999996</v>
      </c>
    </row>
    <row r="110" spans="1:9" s="7" customFormat="1">
      <c r="A110" s="253" t="s">
        <v>98</v>
      </c>
      <c r="B110" s="194"/>
      <c r="C110" s="195">
        <f>+C109</f>
        <v>0.1</v>
      </c>
      <c r="D110" s="187"/>
      <c r="E110" s="196">
        <v>6</v>
      </c>
      <c r="F110" s="187">
        <f>IF(E110&gt;0,VLOOKUP(E110,EquipCost,15)*C110,0)</f>
        <v>0.31352380952380954</v>
      </c>
      <c r="G110" s="197"/>
      <c r="H110" s="197"/>
      <c r="I110" s="251">
        <f>SUM(F110:H110)+D110</f>
        <v>0.31352380952380954</v>
      </c>
    </row>
    <row r="111" spans="1:9" s="7" customFormat="1">
      <c r="A111" s="253" t="s">
        <v>114</v>
      </c>
      <c r="B111" s="184"/>
      <c r="C111" s="188"/>
      <c r="D111" s="187"/>
      <c r="E111" s="185"/>
      <c r="F111" s="187"/>
      <c r="G111" s="183">
        <v>0</v>
      </c>
      <c r="H111" s="186"/>
      <c r="I111" s="248">
        <f>SUM(F111:H111)+D111</f>
        <v>0</v>
      </c>
    </row>
    <row r="112" spans="1:9" s="7" customFormat="1">
      <c r="A112" s="247" t="s">
        <v>103</v>
      </c>
      <c r="B112" s="203"/>
      <c r="C112" s="203"/>
      <c r="D112" s="208"/>
      <c r="E112" s="209"/>
      <c r="F112" s="208"/>
      <c r="G112" s="208"/>
      <c r="H112" s="208"/>
      <c r="I112" s="254"/>
    </row>
    <row r="113" spans="1:9" s="7" customFormat="1">
      <c r="A113" s="249" t="s">
        <v>88</v>
      </c>
      <c r="B113" s="184">
        <f>+SSMowTime3</f>
        <v>1.125</v>
      </c>
      <c r="C113" s="188">
        <f>+B113</f>
        <v>1.125</v>
      </c>
      <c r="D113" s="187">
        <f>B113*LaborNoSkill</f>
        <v>10.125</v>
      </c>
      <c r="E113" s="185">
        <v>3</v>
      </c>
      <c r="F113" s="187">
        <f>IF(E113&gt;0,VLOOKUP(E113,EquipCost,15)*C113,0)</f>
        <v>13.674375</v>
      </c>
      <c r="G113" s="186"/>
      <c r="H113" s="186"/>
      <c r="I113" s="248">
        <f>SUM(F113:H113)+D113</f>
        <v>23.799374999999998</v>
      </c>
    </row>
    <row r="114" spans="1:9" s="7" customFormat="1">
      <c r="A114" s="246" t="s">
        <v>104</v>
      </c>
      <c r="B114" s="184"/>
      <c r="C114" s="188">
        <f>+C113</f>
        <v>1.125</v>
      </c>
      <c r="D114" s="187"/>
      <c r="E114" s="185">
        <v>7</v>
      </c>
      <c r="F114" s="187">
        <f>IF(E114&gt;0,VLOOKUP(E114,EquipCost,15)*C114,0)</f>
        <v>5.2419642857142863</v>
      </c>
      <c r="G114" s="186"/>
      <c r="H114" s="186"/>
      <c r="I114" s="248">
        <f>SUM(F114:H114)+D114</f>
        <v>5.2419642857142863</v>
      </c>
    </row>
    <row r="115" spans="1:9" s="7" customFormat="1">
      <c r="A115" s="247" t="s">
        <v>105</v>
      </c>
      <c r="B115" s="184"/>
      <c r="C115" s="188"/>
      <c r="D115" s="187"/>
      <c r="E115" s="185"/>
      <c r="F115" s="187"/>
      <c r="G115" s="186"/>
      <c r="H115" s="186"/>
      <c r="I115" s="248"/>
    </row>
    <row r="116" spans="1:9" s="7" customFormat="1">
      <c r="A116" s="249" t="s">
        <v>88</v>
      </c>
      <c r="B116" s="184">
        <f>+SSBaitTime3</f>
        <v>0.11764705882352941</v>
      </c>
      <c r="C116" s="188">
        <f>+B116</f>
        <v>0.11764705882352941</v>
      </c>
      <c r="D116" s="187">
        <f>B116*LaborNoSkill</f>
        <v>1.0588235294117647</v>
      </c>
      <c r="E116" s="185">
        <v>3</v>
      </c>
      <c r="F116" s="187">
        <f>IF(E116&gt;0,VLOOKUP(E116,EquipCost,15)*C116,0)</f>
        <v>1.43</v>
      </c>
      <c r="G116" s="186"/>
      <c r="H116" s="186"/>
      <c r="I116" s="248">
        <f t="shared" ref="I116:I123" si="1">SUM(F116:H116)+D116</f>
        <v>2.4888235294117647</v>
      </c>
    </row>
    <row r="117" spans="1:9" s="7" customFormat="1">
      <c r="A117" s="249" t="s">
        <v>98</v>
      </c>
      <c r="B117" s="184"/>
      <c r="C117" s="188">
        <f>+C116</f>
        <v>0.11764705882352941</v>
      </c>
      <c r="D117" s="187"/>
      <c r="E117" s="185">
        <v>6</v>
      </c>
      <c r="F117" s="187">
        <f>IF(E117&gt;0,VLOOKUP(E117,EquipCost,15)*C117,0)</f>
        <v>0.36885154061624653</v>
      </c>
      <c r="G117" s="186">
        <f>+SSBait3</f>
        <v>5.5</v>
      </c>
      <c r="H117" s="181"/>
      <c r="I117" s="248">
        <f t="shared" si="1"/>
        <v>5.8688515406162463</v>
      </c>
    </row>
    <row r="118" spans="1:9" s="7" customFormat="1">
      <c r="A118" s="249" t="s">
        <v>107</v>
      </c>
      <c r="B118" s="184">
        <v>2</v>
      </c>
      <c r="C118" s="188">
        <v>1</v>
      </c>
      <c r="D118" s="187">
        <f>B118*LaborNoSkill</f>
        <v>18</v>
      </c>
      <c r="E118" s="185">
        <v>1</v>
      </c>
      <c r="F118" s="187">
        <f>IF(E118&gt;0,VLOOKUP(E118,EquipCost,15)*C118,0)</f>
        <v>15.252000000000001</v>
      </c>
      <c r="G118" s="187">
        <f>+SSWild*SSTree</f>
        <v>36.299999999999997</v>
      </c>
      <c r="H118" s="181"/>
      <c r="I118" s="248">
        <f t="shared" si="1"/>
        <v>69.551999999999992</v>
      </c>
    </row>
    <row r="119" spans="1:9" s="7" customFormat="1">
      <c r="A119" s="246" t="s">
        <v>108</v>
      </c>
      <c r="B119" s="206"/>
      <c r="C119" s="206"/>
      <c r="D119" s="181"/>
      <c r="E119" s="207"/>
      <c r="F119" s="181"/>
      <c r="G119" s="181"/>
      <c r="H119" s="181">
        <v>15</v>
      </c>
      <c r="I119" s="251">
        <f t="shared" si="1"/>
        <v>15</v>
      </c>
    </row>
    <row r="120" spans="1:9" s="7" customFormat="1">
      <c r="A120" s="246" t="s">
        <v>109</v>
      </c>
      <c r="B120" s="206"/>
      <c r="C120" s="206"/>
      <c r="D120" s="181"/>
      <c r="E120" s="207"/>
      <c r="F120" s="181"/>
      <c r="G120" s="181"/>
      <c r="H120" s="181">
        <v>35</v>
      </c>
      <c r="I120" s="251">
        <f t="shared" si="1"/>
        <v>35</v>
      </c>
    </row>
    <row r="121" spans="1:9" s="7" customFormat="1">
      <c r="A121" s="249" t="s">
        <v>115</v>
      </c>
      <c r="B121" s="184">
        <v>0.5</v>
      </c>
      <c r="C121" s="184">
        <v>40</v>
      </c>
      <c r="D121" s="187">
        <f>B121*LaborNoSkill</f>
        <v>4.5</v>
      </c>
      <c r="E121" s="207">
        <v>17</v>
      </c>
      <c r="F121" s="187">
        <f>IF(E121&gt;0,VLOOKUP(E121,EquipCost,15)*C121,0)</f>
        <v>88</v>
      </c>
      <c r="G121" s="183"/>
      <c r="H121" s="181"/>
      <c r="I121" s="248">
        <f t="shared" si="1"/>
        <v>92.5</v>
      </c>
    </row>
    <row r="122" spans="1:9" s="7" customFormat="1">
      <c r="A122" s="249" t="s">
        <v>71</v>
      </c>
      <c r="B122" s="184"/>
      <c r="C122" s="184"/>
      <c r="D122" s="187">
        <f>B122*LaborNoSkill</f>
        <v>0</v>
      </c>
      <c r="E122" s="185"/>
      <c r="F122" s="187">
        <f>IF(E122&gt;0,VLOOKUP(E122,EquipCost,15)*C122,0)</f>
        <v>0</v>
      </c>
      <c r="G122" s="186"/>
      <c r="H122" s="183">
        <f>+RETax</f>
        <v>35</v>
      </c>
      <c r="I122" s="248">
        <f t="shared" si="1"/>
        <v>35</v>
      </c>
    </row>
    <row r="123" spans="1:9" s="9" customFormat="1">
      <c r="A123" s="260" t="s">
        <v>72</v>
      </c>
      <c r="B123" s="261"/>
      <c r="C123" s="261"/>
      <c r="D123" s="262">
        <f>B123*LaborNoSkill</f>
        <v>0</v>
      </c>
      <c r="E123" s="263"/>
      <c r="F123" s="262">
        <f>IF(E123&gt;0,VLOOKUP(E123,EquipCost,15)*C123,0)</f>
        <v>0</v>
      </c>
      <c r="G123" s="264"/>
      <c r="H123" s="265">
        <f>+other</f>
        <v>12.5</v>
      </c>
      <c r="I123" s="266">
        <f t="shared" si="1"/>
        <v>12.5</v>
      </c>
    </row>
    <row r="124" spans="1:9" s="82" customFormat="1">
      <c r="A124" s="267"/>
      <c r="B124" s="268"/>
      <c r="C124" s="268"/>
      <c r="D124" s="269"/>
      <c r="E124" s="270"/>
      <c r="F124" s="269"/>
      <c r="G124" s="269"/>
      <c r="H124" s="269"/>
      <c r="I124" s="271"/>
    </row>
    <row r="125" spans="1:9">
      <c r="A125" s="255" t="s">
        <v>49</v>
      </c>
      <c r="B125" s="256">
        <f>SUM(B97:B124)</f>
        <v>46.472647058823533</v>
      </c>
      <c r="C125" s="256">
        <f>SUM(C97:C124)</f>
        <v>88.195294117647066</v>
      </c>
      <c r="D125" s="257">
        <f>SUM(D97:D124)</f>
        <v>459.53382352941173</v>
      </c>
      <c r="E125" s="258"/>
      <c r="F125" s="257">
        <f>SUM(F97:F124)</f>
        <v>445.00964796918777</v>
      </c>
      <c r="G125" s="257">
        <f>SUM(G97:G124)</f>
        <v>785.83578683035705</v>
      </c>
      <c r="H125" s="257">
        <f>SUM(H97:H124)</f>
        <v>97.5</v>
      </c>
      <c r="I125" s="259">
        <f>SUM(I97:I124)</f>
        <v>1787.8792583289564</v>
      </c>
    </row>
    <row r="126" spans="1:9" ht="20.25">
      <c r="A126" s="1320" t="s">
        <v>642</v>
      </c>
      <c r="B126" s="1320"/>
      <c r="C126" s="1320"/>
      <c r="D126" s="1320"/>
      <c r="E126" s="1320"/>
      <c r="F126" s="1320"/>
      <c r="G126" s="1320"/>
      <c r="H126" s="1320"/>
      <c r="I126" s="1320"/>
    </row>
    <row r="127" spans="1:9" s="173" customFormat="1" ht="11.25">
      <c r="A127" s="174" t="s">
        <v>46</v>
      </c>
      <c r="B127" s="175" t="s">
        <v>632</v>
      </c>
      <c r="C127" s="175" t="s">
        <v>631</v>
      </c>
      <c r="D127" s="176" t="s">
        <v>626</v>
      </c>
      <c r="E127" s="177" t="s">
        <v>627</v>
      </c>
      <c r="F127" s="176" t="s">
        <v>628</v>
      </c>
      <c r="G127" s="176" t="s">
        <v>629</v>
      </c>
      <c r="H127" s="176" t="s">
        <v>630</v>
      </c>
      <c r="I127" s="176" t="s">
        <v>271</v>
      </c>
    </row>
    <row r="128" spans="1:9" s="82" customFormat="1">
      <c r="A128" s="272"/>
      <c r="B128" s="273"/>
      <c r="C128" s="273"/>
      <c r="D128" s="227"/>
      <c r="E128" s="228"/>
      <c r="F128" s="227"/>
      <c r="G128" s="227"/>
      <c r="H128" s="227"/>
      <c r="I128" s="274"/>
    </row>
    <row r="129" spans="1:9" s="7" customFormat="1">
      <c r="A129" s="247" t="s">
        <v>89</v>
      </c>
      <c r="B129" s="188">
        <f>+SSTrain4</f>
        <v>5</v>
      </c>
      <c r="C129" s="188">
        <v>2</v>
      </c>
      <c r="D129" s="187">
        <f>B129*LaborNoSkill</f>
        <v>45</v>
      </c>
      <c r="E129" s="185">
        <v>1</v>
      </c>
      <c r="F129" s="187">
        <f>IF(E129&gt;0,VLOOKUP(E129,EquipCost,15)*C129,0)</f>
        <v>30.504000000000001</v>
      </c>
      <c r="G129" s="186">
        <f>+SSTrainMat4</f>
        <v>4</v>
      </c>
      <c r="H129" s="186"/>
      <c r="I129" s="248">
        <f>SUM(F129:H129)+D129</f>
        <v>79.504000000000005</v>
      </c>
    </row>
    <row r="130" spans="1:9" s="7" customFormat="1">
      <c r="A130" s="247" t="s">
        <v>90</v>
      </c>
      <c r="B130" s="188">
        <f>+SSPrune4</f>
        <v>30.25</v>
      </c>
      <c r="C130" s="188">
        <f>+B130</f>
        <v>30.25</v>
      </c>
      <c r="D130" s="187">
        <f>B130*LaborNoSkill</f>
        <v>272.25</v>
      </c>
      <c r="E130" s="185">
        <v>18</v>
      </c>
      <c r="F130" s="187">
        <f>IF(E130&gt;0,VLOOKUP(E130,EquipCost,15)*C130,0)</f>
        <v>113.3165</v>
      </c>
      <c r="G130" s="186"/>
      <c r="H130" s="186"/>
      <c r="I130" s="248">
        <f>SUM(F130:H130)+D130</f>
        <v>385.56650000000002</v>
      </c>
    </row>
    <row r="131" spans="1:9" s="7" customFormat="1">
      <c r="A131" s="906" t="s">
        <v>110</v>
      </c>
      <c r="B131" s="210">
        <v>2</v>
      </c>
      <c r="C131" s="210">
        <f>+B131</f>
        <v>2</v>
      </c>
      <c r="D131" s="211">
        <f>B131*LaborSkill</f>
        <v>30</v>
      </c>
      <c r="E131" s="212">
        <v>3</v>
      </c>
      <c r="F131" s="211">
        <f>IF(E131&gt;0,VLOOKUP(E131,EquipCost,15)*C131,0)</f>
        <v>24.31</v>
      </c>
      <c r="G131" s="186"/>
      <c r="H131" s="186"/>
      <c r="I131" s="248">
        <f>SUM(F131:H131)+D131</f>
        <v>54.31</v>
      </c>
    </row>
    <row r="132" spans="1:9" s="7" customFormat="1">
      <c r="A132" s="906" t="s">
        <v>111</v>
      </c>
      <c r="B132" s="213">
        <v>0.5</v>
      </c>
      <c r="C132" s="210">
        <f>B132</f>
        <v>0.5</v>
      </c>
      <c r="D132" s="211">
        <f>B132*LaborNoSkill</f>
        <v>4.5</v>
      </c>
      <c r="E132" s="212">
        <v>1</v>
      </c>
      <c r="F132" s="211">
        <f>IF(E132&gt;0,VLOOKUP(E132,EquipCost,15)*C132,0)</f>
        <v>7.6260000000000003</v>
      </c>
      <c r="G132" s="183">
        <f>+SSTree*TreeCost*0.01</f>
        <v>90.75</v>
      </c>
      <c r="H132" s="186"/>
      <c r="I132" s="248">
        <f>SUM(F132:H132)+D132</f>
        <v>102.876</v>
      </c>
    </row>
    <row r="133" spans="1:9" s="7" customFormat="1">
      <c r="A133" s="907" t="s">
        <v>92</v>
      </c>
      <c r="B133" s="214"/>
      <c r="C133" s="215"/>
      <c r="D133" s="211"/>
      <c r="E133" s="216"/>
      <c r="F133" s="211"/>
      <c r="G133" s="197"/>
      <c r="H133" s="197"/>
      <c r="I133" s="251"/>
    </row>
    <row r="134" spans="1:9" s="7" customFormat="1">
      <c r="A134" s="908" t="s">
        <v>88</v>
      </c>
      <c r="B134" s="214">
        <f>+SSHerbTIme</f>
        <v>1.2800000000000002</v>
      </c>
      <c r="C134" s="215">
        <f>+B134</f>
        <v>1.2800000000000002</v>
      </c>
      <c r="D134" s="211">
        <f>B134*LaborSkill</f>
        <v>19.200000000000003</v>
      </c>
      <c r="E134" s="216">
        <v>3</v>
      </c>
      <c r="F134" s="211">
        <f>IF(E134&gt;0,VLOOKUP(E134,EquipCost,15)*C134,0)</f>
        <v>15.558400000000002</v>
      </c>
      <c r="G134" s="197"/>
      <c r="H134" s="197"/>
      <c r="I134" s="251">
        <f>SUM(F134:H134)+D134</f>
        <v>34.758400000000009</v>
      </c>
    </row>
    <row r="135" spans="1:9" s="7" customFormat="1">
      <c r="A135" s="909" t="s">
        <v>93</v>
      </c>
      <c r="B135" s="214"/>
      <c r="C135" s="215">
        <f>+C134</f>
        <v>1.2800000000000002</v>
      </c>
      <c r="D135" s="211"/>
      <c r="E135" s="216">
        <v>5</v>
      </c>
      <c r="F135" s="211">
        <f>IF(E135&gt;0,VLOOKUP(E135,EquipCost,15)*C135,0)</f>
        <v>5.6725333333333348</v>
      </c>
      <c r="G135" s="197">
        <f>+SSHerb4</f>
        <v>14.825976562499999</v>
      </c>
      <c r="H135" s="197"/>
      <c r="I135" s="251">
        <f>SUM(F135:H135)+D135</f>
        <v>20.498509895833333</v>
      </c>
    </row>
    <row r="136" spans="1:9" s="7" customFormat="1">
      <c r="A136" s="907" t="s">
        <v>94</v>
      </c>
      <c r="B136" s="214"/>
      <c r="C136" s="215"/>
      <c r="D136" s="211"/>
      <c r="E136" s="216"/>
      <c r="F136" s="211"/>
      <c r="G136" s="197"/>
      <c r="H136" s="197"/>
      <c r="I136" s="251"/>
    </row>
    <row r="137" spans="1:9" s="7" customFormat="1">
      <c r="A137" s="909" t="s">
        <v>95</v>
      </c>
      <c r="B137" s="214">
        <f>+TSSprayTIme3</f>
        <v>3.6</v>
      </c>
      <c r="C137" s="215">
        <f>+B137</f>
        <v>3.6</v>
      </c>
      <c r="D137" s="211">
        <f>B137*LaborSkill</f>
        <v>54</v>
      </c>
      <c r="E137" s="216">
        <v>2</v>
      </c>
      <c r="F137" s="211">
        <f>IF(E137&gt;0,VLOOKUP(E137,EquipCost,15)*C137,0)</f>
        <v>85.356000000000009</v>
      </c>
      <c r="G137" s="197">
        <f>+SSSprayMat4</f>
        <v>619.14574776785707</v>
      </c>
      <c r="H137" s="197"/>
      <c r="I137" s="251">
        <f>SUM(F137:H137)+D137</f>
        <v>758.50174776785707</v>
      </c>
    </row>
    <row r="138" spans="1:9" s="7" customFormat="1">
      <c r="A138" s="909" t="s">
        <v>96</v>
      </c>
      <c r="B138" s="214"/>
      <c r="C138" s="215">
        <f>+C137</f>
        <v>3.6</v>
      </c>
      <c r="D138" s="211"/>
      <c r="E138" s="216">
        <v>4</v>
      </c>
      <c r="F138" s="211">
        <f>IF(E138&gt;0,VLOOKUP(E138,EquipCost,15)*C138,0)</f>
        <v>37.17</v>
      </c>
      <c r="G138" s="197"/>
      <c r="H138" s="197"/>
      <c r="I138" s="251">
        <f>SUM(F138:H138)+D138</f>
        <v>37.17</v>
      </c>
    </row>
    <row r="139" spans="1:9" s="7" customFormat="1">
      <c r="A139" s="907" t="s">
        <v>654</v>
      </c>
      <c r="B139" s="214">
        <v>1</v>
      </c>
      <c r="C139" s="215"/>
      <c r="D139" s="211">
        <f>B139*LaborNoSkill</f>
        <v>9</v>
      </c>
      <c r="E139" s="216"/>
      <c r="F139" s="211"/>
      <c r="G139" s="197"/>
      <c r="H139" s="197"/>
      <c r="I139" s="251">
        <f>SUM(F139:H139)+D139</f>
        <v>9</v>
      </c>
    </row>
    <row r="140" spans="1:9" s="7" customFormat="1">
      <c r="A140" s="910" t="s">
        <v>103</v>
      </c>
      <c r="B140" s="217"/>
      <c r="C140" s="217"/>
      <c r="D140" s="218"/>
      <c r="E140" s="219"/>
      <c r="F140" s="218"/>
      <c r="G140" s="208"/>
      <c r="H140" s="208"/>
      <c r="I140" s="254"/>
    </row>
    <row r="141" spans="1:9" s="7" customFormat="1">
      <c r="A141" s="906" t="s">
        <v>88</v>
      </c>
      <c r="B141" s="213">
        <f>+SSMowTime4</f>
        <v>1.125</v>
      </c>
      <c r="C141" s="210">
        <f>+B141</f>
        <v>1.125</v>
      </c>
      <c r="D141" s="211">
        <f>B141*LaborNoSkill</f>
        <v>10.125</v>
      </c>
      <c r="E141" s="212">
        <v>3</v>
      </c>
      <c r="F141" s="211">
        <f>IF(E141&gt;0,VLOOKUP(E141,EquipCost,15)*C141,0)</f>
        <v>13.674375</v>
      </c>
      <c r="G141" s="186"/>
      <c r="H141" s="186"/>
      <c r="I141" s="248">
        <f>SUM(F141:H141)+D141</f>
        <v>23.799374999999998</v>
      </c>
    </row>
    <row r="142" spans="1:9" s="7" customFormat="1">
      <c r="A142" s="911" t="s">
        <v>104</v>
      </c>
      <c r="B142" s="213"/>
      <c r="C142" s="210">
        <f>+C141</f>
        <v>1.125</v>
      </c>
      <c r="D142" s="211"/>
      <c r="E142" s="212">
        <v>7</v>
      </c>
      <c r="F142" s="211">
        <f>IF(E142&gt;0,VLOOKUP(E142,EquipCost,15)*C142,0)</f>
        <v>5.2419642857142863</v>
      </c>
      <c r="G142" s="186"/>
      <c r="H142" s="186"/>
      <c r="I142" s="248">
        <f>SUM(F142:H142)+D142</f>
        <v>5.2419642857142863</v>
      </c>
    </row>
    <row r="143" spans="1:9" s="7" customFormat="1">
      <c r="A143" s="910" t="s">
        <v>105</v>
      </c>
      <c r="B143" s="213"/>
      <c r="C143" s="210"/>
      <c r="D143" s="211"/>
      <c r="E143" s="212"/>
      <c r="F143" s="211"/>
      <c r="G143" s="186"/>
      <c r="H143" s="186"/>
      <c r="I143" s="248"/>
    </row>
    <row r="144" spans="1:9" s="7" customFormat="1">
      <c r="A144" s="249" t="s">
        <v>88</v>
      </c>
      <c r="B144" s="184">
        <f>+SSBaitTime4</f>
        <v>0.11764705882352941</v>
      </c>
      <c r="C144" s="188">
        <f>+B144</f>
        <v>0.11764705882352941</v>
      </c>
      <c r="D144" s="187">
        <f>B144*LaborNoSkill</f>
        <v>1.0588235294117647</v>
      </c>
      <c r="E144" s="185">
        <v>3</v>
      </c>
      <c r="F144" s="187">
        <f>IF(E144&gt;0,VLOOKUP(E144,EquipCost,15)*C144,0)</f>
        <v>1.43</v>
      </c>
      <c r="G144" s="186"/>
      <c r="H144" s="186"/>
      <c r="I144" s="248">
        <f>SUM(F144:H144)+D144</f>
        <v>2.4888235294117647</v>
      </c>
    </row>
    <row r="145" spans="1:9" s="7" customFormat="1">
      <c r="A145" s="249" t="s">
        <v>98</v>
      </c>
      <c r="B145" s="184"/>
      <c r="C145" s="188">
        <f>+C144</f>
        <v>0.11764705882352941</v>
      </c>
      <c r="D145" s="187"/>
      <c r="E145" s="185">
        <v>6</v>
      </c>
      <c r="F145" s="187">
        <f>IF(E145&gt;0,VLOOKUP(E145,EquipCost,15)*C145,0)</f>
        <v>0.36885154061624653</v>
      </c>
      <c r="G145" s="186">
        <f>+SSBait4</f>
        <v>5.5</v>
      </c>
      <c r="H145" s="181"/>
      <c r="I145" s="248">
        <f>SUM(F145:H145)+D145</f>
        <v>5.8688515406162463</v>
      </c>
    </row>
    <row r="146" spans="1:9" s="7" customFormat="1">
      <c r="A146" s="249" t="s">
        <v>107</v>
      </c>
      <c r="B146" s="184">
        <v>2</v>
      </c>
      <c r="C146" s="188">
        <v>1</v>
      </c>
      <c r="D146" s="187">
        <f>B146*LaborNoSkill</f>
        <v>18</v>
      </c>
      <c r="E146" s="185">
        <v>1</v>
      </c>
      <c r="F146" s="187">
        <f>IF(E146&gt;0,VLOOKUP(E146,EquipCost,15)*C146,0)</f>
        <v>15.252000000000001</v>
      </c>
      <c r="G146" s="187">
        <f>+SSWild*SSTree</f>
        <v>36.299999999999997</v>
      </c>
      <c r="H146" s="181"/>
      <c r="I146" s="248">
        <f>SUM(F146:H146)+D146</f>
        <v>69.551999999999992</v>
      </c>
    </row>
    <row r="147" spans="1:9" s="7" customFormat="1">
      <c r="A147" s="247" t="s">
        <v>112</v>
      </c>
      <c r="B147" s="184"/>
      <c r="C147" s="188"/>
      <c r="D147" s="187"/>
      <c r="E147" s="185"/>
      <c r="F147" s="187"/>
      <c r="G147" s="183"/>
      <c r="H147" s="181"/>
      <c r="I147" s="248"/>
    </row>
    <row r="148" spans="1:9" s="7" customFormat="1">
      <c r="A148" s="253" t="s">
        <v>88</v>
      </c>
      <c r="B148" s="194">
        <f>+SSFertTime4</f>
        <v>0.1</v>
      </c>
      <c r="C148" s="195">
        <f>+B148</f>
        <v>0.1</v>
      </c>
      <c r="D148" s="187">
        <f>B148*LaborNoSkill</f>
        <v>0.9</v>
      </c>
      <c r="E148" s="196">
        <v>3</v>
      </c>
      <c r="F148" s="187">
        <f>IF(E148&gt;0,VLOOKUP(E148,EquipCost,15)*C148,0)</f>
        <v>1.2155</v>
      </c>
      <c r="G148" s="187">
        <f>+SSFert4</f>
        <v>22.309374999999999</v>
      </c>
      <c r="H148" s="197"/>
      <c r="I148" s="251">
        <f>SUM(F148:H148)+D148</f>
        <v>24.424874999999997</v>
      </c>
    </row>
    <row r="149" spans="1:9" s="7" customFormat="1">
      <c r="A149" s="253" t="s">
        <v>98</v>
      </c>
      <c r="B149" s="194"/>
      <c r="C149" s="195">
        <f>+C148</f>
        <v>0.1</v>
      </c>
      <c r="D149" s="187"/>
      <c r="E149" s="196">
        <v>6</v>
      </c>
      <c r="F149" s="187">
        <f>IF(E149&gt;0,VLOOKUP(E149,EquipCost,15)*C149,0)</f>
        <v>0.31352380952380954</v>
      </c>
      <c r="G149" s="197"/>
      <c r="H149" s="197"/>
      <c r="I149" s="251">
        <f>SUM(F149:H149)+D149</f>
        <v>0.31352380952380954</v>
      </c>
    </row>
    <row r="150" spans="1:9" s="7" customFormat="1">
      <c r="A150" s="253" t="s">
        <v>116</v>
      </c>
      <c r="B150" s="184"/>
      <c r="C150" s="188"/>
      <c r="D150" s="187"/>
      <c r="E150" s="185"/>
      <c r="F150" s="187"/>
      <c r="G150" s="183">
        <f>+Lime</f>
        <v>35</v>
      </c>
      <c r="H150" s="186"/>
      <c r="I150" s="248">
        <f t="shared" ref="I150:I155" si="2">SUM(F150:H150)+D150</f>
        <v>35</v>
      </c>
    </row>
    <row r="151" spans="1:9" s="7" customFormat="1">
      <c r="A151" s="246" t="s">
        <v>108</v>
      </c>
      <c r="B151" s="206"/>
      <c r="C151" s="206"/>
      <c r="D151" s="181"/>
      <c r="E151" s="207"/>
      <c r="F151" s="181"/>
      <c r="G151" s="181"/>
      <c r="H151" s="181">
        <v>15</v>
      </c>
      <c r="I151" s="251">
        <f>SUM(F151:H151)+D151</f>
        <v>15</v>
      </c>
    </row>
    <row r="152" spans="1:9" s="7" customFormat="1">
      <c r="A152" s="246" t="s">
        <v>109</v>
      </c>
      <c r="B152" s="206"/>
      <c r="C152" s="206"/>
      <c r="D152" s="181"/>
      <c r="E152" s="207"/>
      <c r="F152" s="181"/>
      <c r="G152" s="181"/>
      <c r="H152" s="181">
        <v>35</v>
      </c>
      <c r="I152" s="251">
        <f>SUM(F152:H152)+D152</f>
        <v>35</v>
      </c>
    </row>
    <row r="153" spans="1:9" s="7" customFormat="1">
      <c r="A153" s="249" t="s">
        <v>115</v>
      </c>
      <c r="B153" s="184">
        <v>0.5</v>
      </c>
      <c r="C153" s="184">
        <v>40</v>
      </c>
      <c r="D153" s="187">
        <f>B153*LaborNoSkill</f>
        <v>4.5</v>
      </c>
      <c r="E153" s="207">
        <v>17</v>
      </c>
      <c r="F153" s="187">
        <f>IF(E153&gt;0,VLOOKUP(E153,EquipCost,15)*C153,0)</f>
        <v>88</v>
      </c>
      <c r="G153" s="183"/>
      <c r="H153" s="181"/>
      <c r="I153" s="248">
        <f t="shared" si="2"/>
        <v>92.5</v>
      </c>
    </row>
    <row r="154" spans="1:9" s="7" customFormat="1">
      <c r="A154" s="249" t="s">
        <v>71</v>
      </c>
      <c r="B154" s="184"/>
      <c r="C154" s="184"/>
      <c r="D154" s="187">
        <f>B154*LaborNoSkill</f>
        <v>0</v>
      </c>
      <c r="E154" s="185"/>
      <c r="F154" s="187">
        <f>IF(E154&gt;0,VLOOKUP(E154,EquipCost,15)*C154,0)</f>
        <v>0</v>
      </c>
      <c r="G154" s="186"/>
      <c r="H154" s="183">
        <f>+RETax</f>
        <v>35</v>
      </c>
      <c r="I154" s="248">
        <f t="shared" si="2"/>
        <v>35</v>
      </c>
    </row>
    <row r="155" spans="1:9" s="9" customFormat="1">
      <c r="A155" s="260" t="s">
        <v>72</v>
      </c>
      <c r="B155" s="261"/>
      <c r="C155" s="261"/>
      <c r="D155" s="262">
        <f>B155*LaborNoSkill</f>
        <v>0</v>
      </c>
      <c r="E155" s="263"/>
      <c r="F155" s="262">
        <f>IF(E155&gt;0,VLOOKUP(E155,EquipCost,15)*C155,0)</f>
        <v>0</v>
      </c>
      <c r="G155" s="264"/>
      <c r="H155" s="265">
        <f>+other</f>
        <v>12.5</v>
      </c>
      <c r="I155" s="266">
        <f t="shared" si="2"/>
        <v>12.5</v>
      </c>
    </row>
    <row r="156" spans="1:9" s="9" customFormat="1">
      <c r="A156" s="267"/>
      <c r="B156" s="268"/>
      <c r="C156" s="268"/>
      <c r="D156" s="269"/>
      <c r="E156" s="270"/>
      <c r="F156" s="269"/>
      <c r="G156" s="269"/>
      <c r="H156" s="269"/>
      <c r="I156" s="271"/>
    </row>
    <row r="157" spans="1:9" s="7" customFormat="1">
      <c r="A157" s="255" t="s">
        <v>49</v>
      </c>
      <c r="B157" s="256">
        <f>SUM(B128:B156)</f>
        <v>47.472647058823533</v>
      </c>
      <c r="C157" s="256">
        <f>SUM(C128:C156)</f>
        <v>88.195294117647066</v>
      </c>
      <c r="D157" s="257">
        <f>SUM(D128:D156)</f>
        <v>468.53382352941173</v>
      </c>
      <c r="E157" s="258"/>
      <c r="F157" s="257">
        <f>SUM(F128:F156)</f>
        <v>445.00964796918777</v>
      </c>
      <c r="G157" s="257">
        <f>SUM(G128:G156)</f>
        <v>827.83109933035712</v>
      </c>
      <c r="H157" s="257">
        <f>SUM(H128:H156)</f>
        <v>97.5</v>
      </c>
      <c r="I157" s="259">
        <f>SUM(I128:I156)</f>
        <v>1838.8745708289564</v>
      </c>
    </row>
    <row r="158" spans="1:9" s="7" customFormat="1">
      <c r="A158" s="300"/>
      <c r="B158" s="243"/>
      <c r="C158" s="243"/>
      <c r="D158" s="244"/>
      <c r="E158" s="245"/>
      <c r="F158" s="244"/>
      <c r="G158" s="244"/>
      <c r="H158" s="244"/>
      <c r="I158" s="301"/>
    </row>
    <row r="159" spans="1:9" s="7" customFormat="1" ht="20.25">
      <c r="A159" s="229" t="s">
        <v>338</v>
      </c>
      <c r="B159" s="230"/>
      <c r="C159" s="230"/>
      <c r="D159" s="231"/>
      <c r="E159" s="232"/>
      <c r="F159" s="231"/>
      <c r="G159" s="231"/>
      <c r="H159" s="231"/>
      <c r="I159" s="233"/>
    </row>
    <row r="160" spans="1:9" s="19" customFormat="1" ht="11.25">
      <c r="A160" s="239"/>
      <c r="B160" s="240"/>
      <c r="C160" s="240"/>
      <c r="D160" s="241"/>
      <c r="E160" s="242"/>
      <c r="F160" s="241"/>
      <c r="G160" s="241"/>
      <c r="H160" s="241"/>
      <c r="I160" s="233" t="s">
        <v>271</v>
      </c>
    </row>
    <row r="161" spans="1:9" s="7" customFormat="1" ht="20.25">
      <c r="A161" s="234" t="s">
        <v>65</v>
      </c>
      <c r="B161" s="235"/>
      <c r="C161" s="235"/>
      <c r="D161" s="236"/>
      <c r="E161" s="237"/>
      <c r="F161" s="236"/>
      <c r="G161" s="236"/>
      <c r="H161" s="236"/>
      <c r="I161" s="238">
        <f>+Year0</f>
        <v>794</v>
      </c>
    </row>
    <row r="162" spans="1:9" s="7" customFormat="1" ht="20.25">
      <c r="A162" s="221" t="str">
        <f>+A17</f>
        <v>Year 1, Planting Year.</v>
      </c>
      <c r="B162" s="203"/>
      <c r="C162" s="203"/>
      <c r="D162" s="208"/>
      <c r="E162" s="209"/>
      <c r="F162" s="208"/>
      <c r="G162" s="208"/>
      <c r="H162" s="208"/>
      <c r="I162" s="220">
        <f>+SSYear1</f>
        <v>15071.316037954455</v>
      </c>
    </row>
    <row r="163" spans="1:9" s="7" customFormat="1" ht="20.25">
      <c r="A163" s="221" t="str">
        <f>+A65</f>
        <v>Year 2, Early Bearing Year</v>
      </c>
      <c r="B163" s="203"/>
      <c r="C163" s="203"/>
      <c r="D163" s="208"/>
      <c r="E163" s="209"/>
      <c r="F163" s="208"/>
      <c r="G163" s="208"/>
      <c r="H163" s="208"/>
      <c r="I163" s="220">
        <f>+TSYear2</f>
        <v>1552.5059585025679</v>
      </c>
    </row>
    <row r="164" spans="1:9" s="7" customFormat="1" ht="20.25">
      <c r="A164" s="221" t="str">
        <f>+A95</f>
        <v>Year 3, Early Bearing Year</v>
      </c>
      <c r="B164" s="203"/>
      <c r="C164" s="203"/>
      <c r="D164" s="208"/>
      <c r="E164" s="209"/>
      <c r="F164" s="208"/>
      <c r="G164" s="208"/>
      <c r="H164" s="208"/>
      <c r="I164" s="220">
        <f>+SSYear3</f>
        <v>1787.8792583289564</v>
      </c>
    </row>
    <row r="165" spans="1:9" s="7" customFormat="1" ht="20.25">
      <c r="A165" s="222" t="str">
        <f>+A126</f>
        <v>Year 4, Full Bearing Year</v>
      </c>
      <c r="B165" s="223"/>
      <c r="C165" s="223"/>
      <c r="D165" s="224"/>
      <c r="E165" s="225"/>
      <c r="F165" s="224"/>
      <c r="G165" s="224"/>
      <c r="H165" s="224"/>
      <c r="I165" s="226">
        <f>+SSYear4</f>
        <v>1838.8745708289564</v>
      </c>
    </row>
    <row r="166" spans="1:9" s="7" customFormat="1">
      <c r="B166" s="29"/>
      <c r="C166" s="29"/>
      <c r="D166" s="13"/>
      <c r="E166" s="12"/>
      <c r="F166" s="13"/>
      <c r="G166" s="13"/>
      <c r="H166" s="13"/>
      <c r="I166" s="13"/>
    </row>
    <row r="167" spans="1:9" s="7" customFormat="1">
      <c r="B167" s="29"/>
      <c r="C167" s="29"/>
      <c r="D167" s="13"/>
      <c r="E167" s="12"/>
      <c r="F167" s="13"/>
      <c r="G167" s="13"/>
      <c r="H167" s="13"/>
      <c r="I167" s="13"/>
    </row>
    <row r="168" spans="1:9" s="7" customFormat="1">
      <c r="B168" s="29"/>
      <c r="C168" s="29"/>
      <c r="D168" s="13"/>
      <c r="E168" s="12"/>
      <c r="F168" s="13"/>
      <c r="G168" s="13"/>
      <c r="H168" s="13"/>
      <c r="I168" s="13"/>
    </row>
    <row r="169" spans="1:9" s="7" customFormat="1">
      <c r="B169" s="29"/>
      <c r="C169" s="29"/>
      <c r="D169" s="13"/>
      <c r="E169" s="12"/>
      <c r="F169" s="13"/>
      <c r="G169" s="13"/>
      <c r="H169" s="13"/>
      <c r="I169" s="13"/>
    </row>
    <row r="170" spans="1:9" s="7" customFormat="1">
      <c r="B170" s="29"/>
      <c r="C170" s="29"/>
      <c r="D170" s="13"/>
      <c r="E170" s="12"/>
      <c r="F170" s="13"/>
      <c r="G170" s="13"/>
      <c r="H170" s="13"/>
      <c r="I170" s="13"/>
    </row>
    <row r="171" spans="1:9" s="7" customFormat="1">
      <c r="B171" s="29"/>
      <c r="C171" s="29"/>
      <c r="D171" s="13"/>
      <c r="E171" s="12"/>
      <c r="F171" s="13"/>
      <c r="G171" s="13"/>
      <c r="H171" s="13"/>
      <c r="I171" s="13"/>
    </row>
    <row r="172" spans="1:9" s="7" customFormat="1">
      <c r="B172" s="29"/>
      <c r="C172" s="29"/>
      <c r="D172" s="13"/>
      <c r="E172" s="12"/>
      <c r="F172" s="13"/>
      <c r="G172" s="13"/>
      <c r="H172" s="13"/>
      <c r="I172" s="13"/>
    </row>
    <row r="173" spans="1:9" s="7" customFormat="1">
      <c r="B173" s="29"/>
      <c r="C173" s="29"/>
      <c r="D173" s="13"/>
      <c r="E173" s="12"/>
      <c r="F173" s="13"/>
      <c r="G173" s="13"/>
      <c r="H173" s="13"/>
      <c r="I173" s="13"/>
    </row>
    <row r="174" spans="1:9" s="7" customFormat="1">
      <c r="B174" s="29"/>
      <c r="C174" s="29"/>
      <c r="D174" s="13"/>
      <c r="E174" s="12"/>
      <c r="F174" s="13"/>
      <c r="G174" s="13"/>
      <c r="H174" s="13"/>
      <c r="I174" s="13"/>
    </row>
    <row r="175" spans="1:9" s="7" customFormat="1">
      <c r="B175" s="29"/>
      <c r="C175" s="29"/>
      <c r="D175" s="13"/>
      <c r="E175" s="12"/>
      <c r="F175" s="13"/>
      <c r="G175" s="13"/>
      <c r="H175" s="13"/>
      <c r="I175" s="13"/>
    </row>
    <row r="176" spans="1:9" s="7" customFormat="1">
      <c r="B176" s="29"/>
      <c r="C176" s="29"/>
      <c r="D176" s="13"/>
      <c r="E176" s="12"/>
      <c r="F176" s="13"/>
      <c r="G176" s="13"/>
      <c r="H176" s="13"/>
      <c r="I176" s="13"/>
    </row>
    <row r="177" spans="2:9" s="7" customFormat="1">
      <c r="B177" s="29"/>
      <c r="C177" s="29"/>
      <c r="D177" s="13"/>
      <c r="E177" s="12"/>
      <c r="F177" s="13"/>
      <c r="G177" s="13"/>
      <c r="H177" s="13"/>
      <c r="I177" s="13"/>
    </row>
    <row r="178" spans="2:9" s="7" customFormat="1">
      <c r="B178" s="29"/>
      <c r="C178" s="29"/>
      <c r="D178" s="13"/>
      <c r="E178" s="12"/>
      <c r="F178" s="13"/>
      <c r="G178" s="13"/>
      <c r="H178" s="13"/>
      <c r="I178" s="13"/>
    </row>
    <row r="179" spans="2:9" s="7" customFormat="1">
      <c r="B179" s="29"/>
      <c r="C179" s="29"/>
      <c r="D179" s="13"/>
      <c r="E179" s="12"/>
      <c r="F179" s="13"/>
      <c r="G179" s="13"/>
      <c r="H179" s="13"/>
      <c r="I179" s="13"/>
    </row>
    <row r="180" spans="2:9" s="7" customFormat="1">
      <c r="B180" s="29"/>
      <c r="C180" s="29"/>
      <c r="D180" s="13"/>
      <c r="E180" s="12"/>
      <c r="F180" s="13"/>
      <c r="G180" s="13"/>
      <c r="H180" s="13"/>
      <c r="I180" s="13"/>
    </row>
    <row r="181" spans="2:9" s="7" customFormat="1">
      <c r="B181" s="29"/>
      <c r="C181" s="29"/>
      <c r="D181" s="13"/>
      <c r="E181" s="12"/>
      <c r="F181" s="13"/>
      <c r="G181" s="13"/>
      <c r="H181" s="13"/>
      <c r="I181" s="13"/>
    </row>
    <row r="182" spans="2:9" s="7" customFormat="1">
      <c r="B182" s="29"/>
      <c r="C182" s="29"/>
      <c r="D182" s="13"/>
      <c r="E182" s="12"/>
      <c r="F182" s="13"/>
      <c r="G182" s="13"/>
      <c r="H182" s="13"/>
      <c r="I182" s="13"/>
    </row>
    <row r="183" spans="2:9" s="7" customFormat="1">
      <c r="B183" s="29"/>
      <c r="C183" s="29"/>
      <c r="D183" s="13"/>
      <c r="E183" s="12"/>
      <c r="F183" s="13"/>
      <c r="G183" s="13"/>
      <c r="H183" s="13"/>
      <c r="I183" s="13"/>
    </row>
    <row r="184" spans="2:9" s="7" customFormat="1">
      <c r="B184" s="29"/>
      <c r="C184" s="29"/>
      <c r="D184" s="13"/>
      <c r="E184" s="12"/>
      <c r="F184" s="13"/>
      <c r="G184" s="13"/>
      <c r="H184" s="13"/>
      <c r="I184" s="13"/>
    </row>
    <row r="185" spans="2:9" s="7" customFormat="1">
      <c r="B185" s="29"/>
      <c r="C185" s="29"/>
      <c r="D185" s="13"/>
      <c r="E185" s="12"/>
      <c r="F185" s="13"/>
      <c r="G185" s="13"/>
      <c r="H185" s="13"/>
      <c r="I185" s="13"/>
    </row>
    <row r="186" spans="2:9" s="7" customFormat="1">
      <c r="B186" s="29"/>
      <c r="C186" s="29"/>
      <c r="D186" s="13"/>
      <c r="E186" s="12"/>
      <c r="F186" s="13"/>
      <c r="G186" s="13"/>
      <c r="H186" s="13"/>
      <c r="I186" s="13"/>
    </row>
    <row r="187" spans="2:9" s="7" customFormat="1">
      <c r="B187" s="29"/>
      <c r="C187" s="29"/>
      <c r="D187" s="13"/>
      <c r="E187" s="12"/>
      <c r="F187" s="13"/>
      <c r="G187" s="13"/>
      <c r="H187" s="13"/>
      <c r="I187" s="13"/>
    </row>
    <row r="188" spans="2:9" s="7" customFormat="1">
      <c r="B188" s="29"/>
      <c r="C188" s="29"/>
      <c r="D188" s="13"/>
      <c r="E188" s="12"/>
      <c r="F188" s="13"/>
      <c r="G188" s="13"/>
      <c r="H188" s="13"/>
      <c r="I188" s="13"/>
    </row>
    <row r="189" spans="2:9" s="7" customFormat="1">
      <c r="B189" s="29"/>
      <c r="C189" s="29"/>
      <c r="D189" s="13"/>
      <c r="E189" s="12"/>
      <c r="F189" s="13"/>
      <c r="G189" s="13"/>
      <c r="H189" s="13"/>
      <c r="I189" s="13"/>
    </row>
    <row r="190" spans="2:9" s="7" customFormat="1">
      <c r="B190" s="29"/>
      <c r="C190" s="29"/>
      <c r="D190" s="13"/>
      <c r="E190" s="12"/>
      <c r="F190" s="13"/>
      <c r="G190" s="13"/>
      <c r="H190" s="13"/>
      <c r="I190" s="13"/>
    </row>
    <row r="191" spans="2:9" s="7" customFormat="1">
      <c r="B191" s="29"/>
      <c r="C191" s="29"/>
      <c r="D191" s="13"/>
      <c r="E191" s="12"/>
      <c r="F191" s="13"/>
      <c r="G191" s="13"/>
      <c r="H191" s="13"/>
      <c r="I191" s="13"/>
    </row>
    <row r="192" spans="2:9" s="7" customFormat="1">
      <c r="B192" s="29"/>
      <c r="C192" s="29"/>
      <c r="D192" s="13"/>
      <c r="E192" s="12"/>
      <c r="F192" s="13"/>
      <c r="G192" s="13"/>
      <c r="H192" s="13"/>
      <c r="I192" s="13"/>
    </row>
    <row r="193" spans="2:9" s="7" customFormat="1">
      <c r="B193" s="29"/>
      <c r="C193" s="29"/>
      <c r="D193" s="13"/>
      <c r="E193" s="12"/>
      <c r="F193" s="13"/>
      <c r="G193" s="13"/>
      <c r="H193" s="13"/>
      <c r="I193" s="13"/>
    </row>
    <row r="194" spans="2:9" s="7" customFormat="1">
      <c r="B194" s="29"/>
      <c r="C194" s="29"/>
      <c r="D194" s="13"/>
      <c r="E194" s="12"/>
      <c r="F194" s="13"/>
      <c r="G194" s="13"/>
      <c r="H194" s="13"/>
      <c r="I194" s="13"/>
    </row>
    <row r="195" spans="2:9" s="7" customFormat="1">
      <c r="B195" s="29"/>
      <c r="C195" s="29"/>
      <c r="D195" s="13"/>
      <c r="E195" s="12"/>
      <c r="F195" s="13"/>
      <c r="G195" s="13"/>
      <c r="H195" s="13"/>
      <c r="I195" s="13"/>
    </row>
    <row r="196" spans="2:9" s="7" customFormat="1">
      <c r="B196" s="29"/>
      <c r="C196" s="29"/>
      <c r="D196" s="13"/>
      <c r="E196" s="12"/>
      <c r="F196" s="13"/>
      <c r="G196" s="13"/>
      <c r="H196" s="13"/>
      <c r="I196" s="13"/>
    </row>
    <row r="197" spans="2:9" s="7" customFormat="1">
      <c r="B197" s="29"/>
      <c r="C197" s="29"/>
      <c r="D197" s="13"/>
      <c r="E197" s="12"/>
      <c r="F197" s="13"/>
      <c r="G197" s="13"/>
      <c r="H197" s="13"/>
      <c r="I197" s="13"/>
    </row>
    <row r="198" spans="2:9" s="7" customFormat="1">
      <c r="B198" s="29"/>
      <c r="C198" s="29"/>
      <c r="D198" s="13"/>
      <c r="E198" s="12"/>
      <c r="F198" s="13"/>
      <c r="G198" s="13"/>
      <c r="H198" s="13"/>
      <c r="I198" s="13"/>
    </row>
    <row r="199" spans="2:9" s="7" customFormat="1">
      <c r="B199" s="29"/>
      <c r="C199" s="29"/>
      <c r="D199" s="13"/>
      <c r="E199" s="12"/>
      <c r="F199" s="13"/>
      <c r="G199" s="13"/>
      <c r="H199" s="13"/>
      <c r="I199" s="13"/>
    </row>
    <row r="200" spans="2:9" s="7" customFormat="1">
      <c r="B200" s="29"/>
      <c r="C200" s="29"/>
      <c r="D200" s="13"/>
      <c r="E200" s="12"/>
      <c r="F200" s="13"/>
      <c r="G200" s="13"/>
      <c r="H200" s="13"/>
      <c r="I200" s="13"/>
    </row>
    <row r="201" spans="2:9" s="7" customFormat="1">
      <c r="B201" s="29"/>
      <c r="C201" s="29"/>
      <c r="D201" s="13"/>
      <c r="E201" s="12"/>
      <c r="F201" s="13"/>
      <c r="G201" s="13"/>
      <c r="H201" s="13"/>
      <c r="I201" s="13"/>
    </row>
  </sheetData>
  <mergeCells count="5">
    <mergeCell ref="A95:I95"/>
    <mergeCell ref="A126:I126"/>
    <mergeCell ref="A1:I1"/>
    <mergeCell ref="A17:I17"/>
    <mergeCell ref="A65:I65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4" manualBreakCount="4">
    <brk id="16" max="16383" man="1"/>
    <brk id="64" max="16383" man="1"/>
    <brk id="94" max="16383" man="1"/>
    <brk id="12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74"/>
  <sheetViews>
    <sheetView workbookViewId="0">
      <selection activeCell="H15" sqref="H15"/>
    </sheetView>
  </sheetViews>
  <sheetFormatPr defaultRowHeight="12.75"/>
  <cols>
    <col min="4" max="5" width="9.140625" style="24"/>
    <col min="6" max="6" width="7.28515625" customWidth="1"/>
    <col min="9" max="11" width="9" customWidth="1"/>
  </cols>
  <sheetData>
    <row r="1" spans="1:9" ht="20.25">
      <c r="A1" s="47" t="s">
        <v>53</v>
      </c>
      <c r="B1" s="40"/>
      <c r="C1" s="40"/>
      <c r="D1" s="72"/>
      <c r="E1" s="72"/>
      <c r="F1" s="40"/>
      <c r="G1" s="40"/>
      <c r="H1" s="40"/>
      <c r="I1" s="55"/>
    </row>
    <row r="2" spans="1:9" s="10" customFormat="1" ht="11.25">
      <c r="A2" s="85"/>
      <c r="B2" s="86"/>
      <c r="C2" s="86"/>
      <c r="D2" s="87"/>
      <c r="E2" s="87"/>
      <c r="F2" s="86"/>
      <c r="G2" s="86"/>
      <c r="H2" s="86"/>
      <c r="I2" s="88"/>
    </row>
    <row r="3" spans="1:9" s="1" customFormat="1">
      <c r="A3" s="44"/>
      <c r="B3" s="60" t="s">
        <v>54</v>
      </c>
      <c r="C3" s="60" t="s">
        <v>55</v>
      </c>
      <c r="D3" s="89" t="s">
        <v>56</v>
      </c>
      <c r="E3" s="89" t="s">
        <v>57</v>
      </c>
      <c r="F3" s="60"/>
      <c r="G3" s="60" t="s">
        <v>49</v>
      </c>
      <c r="H3" s="60" t="s">
        <v>56</v>
      </c>
      <c r="I3" s="61" t="s">
        <v>58</v>
      </c>
    </row>
    <row r="4" spans="1:9" s="27" customFormat="1">
      <c r="A4" s="45" t="s">
        <v>30</v>
      </c>
      <c r="B4" s="14" t="s">
        <v>36</v>
      </c>
      <c r="C4" s="14" t="s">
        <v>59</v>
      </c>
      <c r="D4" s="31" t="s">
        <v>60</v>
      </c>
      <c r="E4" s="31" t="s">
        <v>60</v>
      </c>
      <c r="F4" s="14" t="s">
        <v>61</v>
      </c>
      <c r="G4" s="14" t="s">
        <v>37</v>
      </c>
      <c r="H4" s="14" t="s">
        <v>62</v>
      </c>
      <c r="I4" s="62" t="s">
        <v>62</v>
      </c>
    </row>
    <row r="5" spans="1:9">
      <c r="A5" s="44">
        <v>0</v>
      </c>
      <c r="B5" s="60">
        <f>+'Factors &amp; Yield'!C36</f>
        <v>0</v>
      </c>
      <c r="C5" s="40">
        <f>+B5*42*Price</f>
        <v>0</v>
      </c>
      <c r="D5" s="72">
        <f>+Year0</f>
        <v>794</v>
      </c>
      <c r="E5" s="72">
        <f>+B5*42*LaborPicking</f>
        <v>0</v>
      </c>
      <c r="F5" s="72">
        <f>+(+D5+E5)*0.5*IntOper+LandCost*IntLand</f>
        <v>383.82</v>
      </c>
      <c r="G5" s="72">
        <f>SUM(D5:F5)</f>
        <v>1177.82</v>
      </c>
      <c r="H5" s="72">
        <f>+C5-G5</f>
        <v>-1177.82</v>
      </c>
      <c r="I5" s="73">
        <f>+H5</f>
        <v>-1177.82</v>
      </c>
    </row>
    <row r="6" spans="1:9">
      <c r="A6" s="65">
        <f>+A5+1</f>
        <v>1</v>
      </c>
      <c r="B6" s="27">
        <f>+'Factors &amp; Yield'!C37</f>
        <v>0</v>
      </c>
      <c r="C6" s="16">
        <f>+B6*42*Price</f>
        <v>0</v>
      </c>
      <c r="D6" s="26">
        <f>+CLYear1</f>
        <v>2265.7378677080887</v>
      </c>
      <c r="E6" s="26">
        <f t="shared" ref="E6:E25" si="0">+B6*42*LaborPicking</f>
        <v>0</v>
      </c>
      <c r="F6" s="26">
        <f t="shared" ref="F6:F25" si="1">+(+D6+E6)*0.5*IntOper+LandCost*IntLand</f>
        <v>427.97213603124266</v>
      </c>
      <c r="G6" s="26">
        <f t="shared" ref="G6:G25" si="2">SUM(D6:F6)</f>
        <v>2693.7100037393316</v>
      </c>
      <c r="H6" s="26">
        <f>+C6-G6</f>
        <v>-2693.7100037393316</v>
      </c>
      <c r="I6" s="75">
        <f t="shared" ref="I6:I25" si="3">+H6+I5</f>
        <v>-3871.5300037393317</v>
      </c>
    </row>
    <row r="7" spans="1:9">
      <c r="A7" s="65">
        <f>+A6+1</f>
        <v>2</v>
      </c>
      <c r="B7" s="27">
        <f>+'Factors &amp; Yield'!C38</f>
        <v>0</v>
      </c>
      <c r="C7" s="16">
        <f t="shared" ref="C7:C25" si="4">+B7*42*Price</f>
        <v>0</v>
      </c>
      <c r="D7" s="26">
        <f>+CLYear2</f>
        <v>464.14481358216892</v>
      </c>
      <c r="E7" s="26">
        <f t="shared" si="0"/>
        <v>0</v>
      </c>
      <c r="F7" s="26">
        <f t="shared" si="1"/>
        <v>373.92434440746507</v>
      </c>
      <c r="G7" s="26">
        <f t="shared" si="2"/>
        <v>838.06915798963405</v>
      </c>
      <c r="H7" s="26">
        <f t="shared" ref="H7:H25" si="5">+C7-G7</f>
        <v>-838.06915798963405</v>
      </c>
      <c r="I7" s="75">
        <f t="shared" si="3"/>
        <v>-4709.5991617289656</v>
      </c>
    </row>
    <row r="8" spans="1:9">
      <c r="A8" s="65">
        <f t="shared" ref="A8:A25" si="6">+A7+1</f>
        <v>3</v>
      </c>
      <c r="B8" s="27">
        <f>+'Factors &amp; Yield'!C39</f>
        <v>0</v>
      </c>
      <c r="C8" s="16">
        <f t="shared" si="4"/>
        <v>0</v>
      </c>
      <c r="D8" s="26">
        <f>+CLYear3</f>
        <v>846.5961274013772</v>
      </c>
      <c r="E8" s="26">
        <f t="shared" si="0"/>
        <v>0</v>
      </c>
      <c r="F8" s="26">
        <f t="shared" si="1"/>
        <v>385.39788382204131</v>
      </c>
      <c r="G8" s="26">
        <f t="shared" si="2"/>
        <v>1231.9940112234185</v>
      </c>
      <c r="H8" s="26">
        <f t="shared" si="5"/>
        <v>-1231.9940112234185</v>
      </c>
      <c r="I8" s="75">
        <f t="shared" si="3"/>
        <v>-5941.5931729523836</v>
      </c>
    </row>
    <row r="9" spans="1:9">
      <c r="A9" s="65">
        <f t="shared" si="6"/>
        <v>4</v>
      </c>
      <c r="B9" s="27">
        <f>+'Factors &amp; Yield'!C40</f>
        <v>100</v>
      </c>
      <c r="C9" s="16">
        <f t="shared" si="4"/>
        <v>840</v>
      </c>
      <c r="D9" s="26">
        <f>+CLYear4</f>
        <v>1124.5436599906629</v>
      </c>
      <c r="E9" s="26">
        <f t="shared" si="0"/>
        <v>158.41529487179488</v>
      </c>
      <c r="F9" s="26">
        <f t="shared" si="1"/>
        <v>398.48876864587373</v>
      </c>
      <c r="G9" s="26">
        <f t="shared" si="2"/>
        <v>1681.4477235083316</v>
      </c>
      <c r="H9" s="26">
        <f t="shared" si="5"/>
        <v>-841.44772350833159</v>
      </c>
      <c r="I9" s="75">
        <f t="shared" si="3"/>
        <v>-6783.040896460715</v>
      </c>
    </row>
    <row r="10" spans="1:9">
      <c r="A10" s="65">
        <f t="shared" si="6"/>
        <v>5</v>
      </c>
      <c r="B10" s="27">
        <f>+'Factors &amp; Yield'!C41</f>
        <v>150</v>
      </c>
      <c r="C10" s="16">
        <f t="shared" si="4"/>
        <v>1260</v>
      </c>
      <c r="D10" s="26">
        <f>+CLYear5</f>
        <v>1665.2196210025679</v>
      </c>
      <c r="E10" s="26">
        <f t="shared" si="0"/>
        <v>237.62294230769231</v>
      </c>
      <c r="F10" s="26">
        <f t="shared" si="1"/>
        <v>417.08527689930781</v>
      </c>
      <c r="G10" s="26">
        <f t="shared" si="2"/>
        <v>2319.9278402095679</v>
      </c>
      <c r="H10" s="26">
        <f t="shared" si="5"/>
        <v>-1059.9278402095679</v>
      </c>
      <c r="I10" s="75">
        <f t="shared" si="3"/>
        <v>-7842.9687366702829</v>
      </c>
    </row>
    <row r="11" spans="1:9">
      <c r="A11" s="65">
        <f t="shared" si="6"/>
        <v>6</v>
      </c>
      <c r="B11" s="27">
        <f>+'Factors &amp; Yield'!C42</f>
        <v>300</v>
      </c>
      <c r="C11" s="16">
        <f t="shared" si="4"/>
        <v>2520</v>
      </c>
      <c r="D11" s="26">
        <f>+CLYear6</f>
        <v>1770.104997738679</v>
      </c>
      <c r="E11" s="26">
        <f t="shared" si="0"/>
        <v>475.24588461538463</v>
      </c>
      <c r="F11" s="26">
        <f t="shared" si="1"/>
        <v>427.36052647062189</v>
      </c>
      <c r="G11" s="26">
        <f t="shared" si="2"/>
        <v>2672.7114088246858</v>
      </c>
      <c r="H11" s="26">
        <f t="shared" si="5"/>
        <v>-152.7114088246858</v>
      </c>
      <c r="I11" s="75">
        <f t="shared" si="3"/>
        <v>-7995.6801454949691</v>
      </c>
    </row>
    <row r="12" spans="1:9">
      <c r="A12" s="65">
        <f t="shared" si="6"/>
        <v>7</v>
      </c>
      <c r="B12" s="27">
        <f>+'Factors &amp; Yield'!C43</f>
        <v>400</v>
      </c>
      <c r="C12" s="16">
        <f t="shared" si="4"/>
        <v>3360</v>
      </c>
      <c r="D12" s="26">
        <f>+CLYear7</f>
        <v>1967.215074127568</v>
      </c>
      <c r="E12" s="26">
        <f t="shared" si="0"/>
        <v>633.66117948717954</v>
      </c>
      <c r="F12" s="26">
        <f t="shared" si="1"/>
        <v>438.02628760844243</v>
      </c>
      <c r="G12" s="26">
        <f t="shared" si="2"/>
        <v>3038.9025412231899</v>
      </c>
      <c r="H12" s="26">
        <f t="shared" si="5"/>
        <v>321.09745877681007</v>
      </c>
      <c r="I12" s="75">
        <f t="shared" si="3"/>
        <v>-7674.5826867181586</v>
      </c>
    </row>
    <row r="13" spans="1:9">
      <c r="A13" s="65">
        <f t="shared" si="6"/>
        <v>8</v>
      </c>
      <c r="B13" s="27">
        <f>+'Factors &amp; Yield'!C44</f>
        <v>500</v>
      </c>
      <c r="C13" s="16">
        <f t="shared" si="4"/>
        <v>4200</v>
      </c>
      <c r="D13" s="26">
        <f>+CLYear8</f>
        <v>1982.4721435720123</v>
      </c>
      <c r="E13" s="26">
        <f t="shared" si="0"/>
        <v>792.07647435897445</v>
      </c>
      <c r="F13" s="26">
        <f t="shared" si="1"/>
        <v>443.23645853792959</v>
      </c>
      <c r="G13" s="26">
        <f t="shared" si="2"/>
        <v>3217.7850764689165</v>
      </c>
      <c r="H13" s="26">
        <f t="shared" si="5"/>
        <v>982.21492353108351</v>
      </c>
      <c r="I13" s="75">
        <f t="shared" si="3"/>
        <v>-6692.3677631870751</v>
      </c>
    </row>
    <row r="14" spans="1:9">
      <c r="A14" s="65">
        <f t="shared" si="6"/>
        <v>9</v>
      </c>
      <c r="B14" s="27">
        <f>+'Factors &amp; Yield'!C45</f>
        <v>650</v>
      </c>
      <c r="C14" s="16">
        <f t="shared" si="4"/>
        <v>5460</v>
      </c>
      <c r="D14" s="26">
        <f t="shared" ref="D14:D25" si="7">+CLYear8</f>
        <v>1982.4721435720123</v>
      </c>
      <c r="E14" s="26">
        <f t="shared" si="0"/>
        <v>1029.6994166666668</v>
      </c>
      <c r="F14" s="26">
        <f t="shared" si="1"/>
        <v>450.36514680716039</v>
      </c>
      <c r="G14" s="26">
        <f t="shared" si="2"/>
        <v>3462.5367070458396</v>
      </c>
      <c r="H14" s="26">
        <f t="shared" si="5"/>
        <v>1997.4632929541604</v>
      </c>
      <c r="I14" s="75">
        <f t="shared" si="3"/>
        <v>-4694.9044702329147</v>
      </c>
    </row>
    <row r="15" spans="1:9">
      <c r="A15" s="65">
        <f t="shared" si="6"/>
        <v>10</v>
      </c>
      <c r="B15" s="27">
        <f>+'Factors &amp; Yield'!C46</f>
        <v>650</v>
      </c>
      <c r="C15" s="16">
        <f t="shared" si="4"/>
        <v>5460</v>
      </c>
      <c r="D15" s="26">
        <f t="shared" si="7"/>
        <v>1982.4721435720123</v>
      </c>
      <c r="E15" s="26">
        <f t="shared" si="0"/>
        <v>1029.6994166666668</v>
      </c>
      <c r="F15" s="26">
        <f t="shared" si="1"/>
        <v>450.36514680716039</v>
      </c>
      <c r="G15" s="26">
        <f t="shared" si="2"/>
        <v>3462.5367070458396</v>
      </c>
      <c r="H15" s="26">
        <f t="shared" si="5"/>
        <v>1997.4632929541604</v>
      </c>
      <c r="I15" s="75">
        <f t="shared" si="3"/>
        <v>-2697.4411772787544</v>
      </c>
    </row>
    <row r="16" spans="1:9">
      <c r="A16" s="65">
        <f t="shared" si="6"/>
        <v>11</v>
      </c>
      <c r="B16" s="27">
        <f>+'Factors &amp; Yield'!C47</f>
        <v>650</v>
      </c>
      <c r="C16" s="16">
        <f t="shared" si="4"/>
        <v>5460</v>
      </c>
      <c r="D16" s="26">
        <f t="shared" si="7"/>
        <v>1982.4721435720123</v>
      </c>
      <c r="E16" s="26">
        <f t="shared" si="0"/>
        <v>1029.6994166666668</v>
      </c>
      <c r="F16" s="26">
        <f t="shared" si="1"/>
        <v>450.36514680716039</v>
      </c>
      <c r="G16" s="26">
        <f t="shared" si="2"/>
        <v>3462.5367070458396</v>
      </c>
      <c r="H16" s="26">
        <f t="shared" si="5"/>
        <v>1997.4632929541604</v>
      </c>
      <c r="I16" s="75">
        <f t="shared" si="3"/>
        <v>-699.97788432459402</v>
      </c>
    </row>
    <row r="17" spans="1:10">
      <c r="A17" s="65">
        <f t="shared" si="6"/>
        <v>12</v>
      </c>
      <c r="B17" s="27">
        <f>+'Factors &amp; Yield'!C48</f>
        <v>650</v>
      </c>
      <c r="C17" s="16">
        <f t="shared" si="4"/>
        <v>5460</v>
      </c>
      <c r="D17" s="26">
        <f t="shared" si="7"/>
        <v>1982.4721435720123</v>
      </c>
      <c r="E17" s="26">
        <f t="shared" si="0"/>
        <v>1029.6994166666668</v>
      </c>
      <c r="F17" s="26">
        <f t="shared" si="1"/>
        <v>450.36514680716039</v>
      </c>
      <c r="G17" s="26">
        <f t="shared" si="2"/>
        <v>3462.5367070458396</v>
      </c>
      <c r="H17" s="26">
        <f t="shared" si="5"/>
        <v>1997.4632929541604</v>
      </c>
      <c r="I17" s="75">
        <f t="shared" si="3"/>
        <v>1297.4854086295663</v>
      </c>
    </row>
    <row r="18" spans="1:10">
      <c r="A18" s="65">
        <f t="shared" si="6"/>
        <v>13</v>
      </c>
      <c r="B18" s="27">
        <f>+'Factors &amp; Yield'!C49</f>
        <v>650</v>
      </c>
      <c r="C18" s="16">
        <f t="shared" si="4"/>
        <v>5460</v>
      </c>
      <c r="D18" s="26">
        <f t="shared" si="7"/>
        <v>1982.4721435720123</v>
      </c>
      <c r="E18" s="26">
        <f t="shared" si="0"/>
        <v>1029.6994166666668</v>
      </c>
      <c r="F18" s="26">
        <f t="shared" si="1"/>
        <v>450.36514680716039</v>
      </c>
      <c r="G18" s="26">
        <f t="shared" si="2"/>
        <v>3462.5367070458396</v>
      </c>
      <c r="H18" s="26">
        <f t="shared" si="5"/>
        <v>1997.4632929541604</v>
      </c>
      <c r="I18" s="75">
        <f t="shared" si="3"/>
        <v>3294.9487015837267</v>
      </c>
    </row>
    <row r="19" spans="1:10">
      <c r="A19" s="65">
        <f t="shared" si="6"/>
        <v>14</v>
      </c>
      <c r="B19" s="27">
        <f>+'Factors &amp; Yield'!C50</f>
        <v>650</v>
      </c>
      <c r="C19" s="16">
        <f t="shared" si="4"/>
        <v>5460</v>
      </c>
      <c r="D19" s="26">
        <f t="shared" si="7"/>
        <v>1982.4721435720123</v>
      </c>
      <c r="E19" s="26">
        <f t="shared" si="0"/>
        <v>1029.6994166666668</v>
      </c>
      <c r="F19" s="26">
        <f t="shared" si="1"/>
        <v>450.36514680716039</v>
      </c>
      <c r="G19" s="26">
        <f t="shared" si="2"/>
        <v>3462.5367070458396</v>
      </c>
      <c r="H19" s="26">
        <f t="shared" si="5"/>
        <v>1997.4632929541604</v>
      </c>
      <c r="I19" s="75">
        <f t="shared" si="3"/>
        <v>5292.411994537887</v>
      </c>
    </row>
    <row r="20" spans="1:10">
      <c r="A20" s="65">
        <f t="shared" si="6"/>
        <v>15</v>
      </c>
      <c r="B20" s="27">
        <f>+'Factors &amp; Yield'!C51</f>
        <v>650</v>
      </c>
      <c r="C20" s="16">
        <f t="shared" si="4"/>
        <v>5460</v>
      </c>
      <c r="D20" s="26">
        <f t="shared" si="7"/>
        <v>1982.4721435720123</v>
      </c>
      <c r="E20" s="26">
        <f t="shared" si="0"/>
        <v>1029.6994166666668</v>
      </c>
      <c r="F20" s="26">
        <f t="shared" si="1"/>
        <v>450.36514680716039</v>
      </c>
      <c r="G20" s="26">
        <f t="shared" si="2"/>
        <v>3462.5367070458396</v>
      </c>
      <c r="H20" s="26">
        <f t="shared" si="5"/>
        <v>1997.4632929541604</v>
      </c>
      <c r="I20" s="75">
        <f t="shared" si="3"/>
        <v>7289.8752874920474</v>
      </c>
    </row>
    <row r="21" spans="1:10">
      <c r="A21" s="65">
        <f t="shared" si="6"/>
        <v>16</v>
      </c>
      <c r="B21" s="27">
        <f>+'Factors &amp; Yield'!C52</f>
        <v>650</v>
      </c>
      <c r="C21" s="16">
        <f t="shared" si="4"/>
        <v>5460</v>
      </c>
      <c r="D21" s="26">
        <f t="shared" si="7"/>
        <v>1982.4721435720123</v>
      </c>
      <c r="E21" s="26">
        <f t="shared" si="0"/>
        <v>1029.6994166666668</v>
      </c>
      <c r="F21" s="26">
        <f t="shared" si="1"/>
        <v>450.36514680716039</v>
      </c>
      <c r="G21" s="26">
        <f t="shared" si="2"/>
        <v>3462.5367070458396</v>
      </c>
      <c r="H21" s="26">
        <f t="shared" si="5"/>
        <v>1997.4632929541604</v>
      </c>
      <c r="I21" s="75">
        <f t="shared" si="3"/>
        <v>9287.3385804462087</v>
      </c>
    </row>
    <row r="22" spans="1:10">
      <c r="A22" s="65">
        <f t="shared" si="6"/>
        <v>17</v>
      </c>
      <c r="B22" s="27">
        <f>+'Factors &amp; Yield'!C53</f>
        <v>650</v>
      </c>
      <c r="C22" s="16">
        <f t="shared" si="4"/>
        <v>5460</v>
      </c>
      <c r="D22" s="26">
        <f t="shared" si="7"/>
        <v>1982.4721435720123</v>
      </c>
      <c r="E22" s="26">
        <f t="shared" si="0"/>
        <v>1029.6994166666668</v>
      </c>
      <c r="F22" s="26">
        <f t="shared" si="1"/>
        <v>450.36514680716039</v>
      </c>
      <c r="G22" s="26">
        <f t="shared" si="2"/>
        <v>3462.5367070458396</v>
      </c>
      <c r="H22" s="26">
        <f t="shared" si="5"/>
        <v>1997.4632929541604</v>
      </c>
      <c r="I22" s="75">
        <f t="shared" si="3"/>
        <v>11284.801873400369</v>
      </c>
    </row>
    <row r="23" spans="1:10">
      <c r="A23" s="65">
        <f t="shared" si="6"/>
        <v>18</v>
      </c>
      <c r="B23" s="27">
        <f>+'Factors &amp; Yield'!C54</f>
        <v>650</v>
      </c>
      <c r="C23" s="16">
        <f t="shared" si="4"/>
        <v>5460</v>
      </c>
      <c r="D23" s="26">
        <f t="shared" si="7"/>
        <v>1982.4721435720123</v>
      </c>
      <c r="E23" s="26">
        <f t="shared" si="0"/>
        <v>1029.6994166666668</v>
      </c>
      <c r="F23" s="26">
        <f t="shared" si="1"/>
        <v>450.36514680716039</v>
      </c>
      <c r="G23" s="26">
        <f t="shared" si="2"/>
        <v>3462.5367070458396</v>
      </c>
      <c r="H23" s="26">
        <f t="shared" si="5"/>
        <v>1997.4632929541604</v>
      </c>
      <c r="I23" s="75">
        <f t="shared" si="3"/>
        <v>13282.265166354529</v>
      </c>
    </row>
    <row r="24" spans="1:10">
      <c r="A24" s="65">
        <f t="shared" si="6"/>
        <v>19</v>
      </c>
      <c r="B24" s="27">
        <f>+'Factors &amp; Yield'!C55</f>
        <v>650</v>
      </c>
      <c r="C24" s="16">
        <f t="shared" si="4"/>
        <v>5460</v>
      </c>
      <c r="D24" s="26">
        <f t="shared" si="7"/>
        <v>1982.4721435720123</v>
      </c>
      <c r="E24" s="26">
        <f t="shared" si="0"/>
        <v>1029.6994166666668</v>
      </c>
      <c r="F24" s="26">
        <f t="shared" si="1"/>
        <v>450.36514680716039</v>
      </c>
      <c r="G24" s="26">
        <f t="shared" si="2"/>
        <v>3462.5367070458396</v>
      </c>
      <c r="H24" s="26">
        <f t="shared" si="5"/>
        <v>1997.4632929541604</v>
      </c>
      <c r="I24" s="75">
        <f t="shared" si="3"/>
        <v>15279.72845930869</v>
      </c>
    </row>
    <row r="25" spans="1:10" s="16" customFormat="1">
      <c r="A25" s="45">
        <f t="shared" si="6"/>
        <v>20</v>
      </c>
      <c r="B25" s="14">
        <f>+'Factors &amp; Yield'!C56</f>
        <v>650</v>
      </c>
      <c r="C25" s="11">
        <f t="shared" si="4"/>
        <v>5460</v>
      </c>
      <c r="D25" s="25">
        <f t="shared" si="7"/>
        <v>1982.4721435720123</v>
      </c>
      <c r="E25" s="25">
        <f t="shared" si="0"/>
        <v>1029.6994166666668</v>
      </c>
      <c r="F25" s="25">
        <f t="shared" si="1"/>
        <v>450.36514680716039</v>
      </c>
      <c r="G25" s="25">
        <f t="shared" si="2"/>
        <v>3462.5367070458396</v>
      </c>
      <c r="H25" s="25">
        <f t="shared" si="5"/>
        <v>1997.4632929541604</v>
      </c>
      <c r="I25" s="77">
        <f t="shared" si="3"/>
        <v>17277.19175226285</v>
      </c>
    </row>
    <row r="26" spans="1:10">
      <c r="A26" s="38"/>
      <c r="B26" s="40"/>
      <c r="C26" s="40"/>
      <c r="D26" s="72"/>
      <c r="E26" s="72"/>
      <c r="F26" s="40"/>
      <c r="G26" s="40"/>
      <c r="H26" s="40"/>
      <c r="I26" s="55"/>
    </row>
    <row r="27" spans="1:10">
      <c r="A27" s="39"/>
      <c r="B27" s="31">
        <f>SUM(B5:B26)</f>
        <v>9250</v>
      </c>
      <c r="C27" s="25">
        <f t="shared" ref="C27:H27" si="8">SUM(C5:C26)</f>
        <v>77700</v>
      </c>
      <c r="D27" s="25">
        <f t="shared" si="8"/>
        <v>36669.700027987281</v>
      </c>
      <c r="E27" s="25">
        <f t="shared" si="8"/>
        <v>14653.414775641024</v>
      </c>
      <c r="F27" s="25">
        <f t="shared" si="8"/>
        <v>9099.6934441088488</v>
      </c>
      <c r="G27" s="25">
        <f t="shared" si="8"/>
        <v>60422.808247737128</v>
      </c>
      <c r="H27" s="25">
        <f t="shared" si="8"/>
        <v>17277.19175226285</v>
      </c>
      <c r="I27" s="77">
        <f>+I25</f>
        <v>17277.19175226285</v>
      </c>
    </row>
    <row r="29" spans="1:10" s="6" customFormat="1" ht="20.25">
      <c r="A29" s="6" t="s">
        <v>42</v>
      </c>
      <c r="D29" s="6">
        <f>+Price</f>
        <v>0.2</v>
      </c>
      <c r="E29" s="97"/>
      <c r="F29" s="6" t="s">
        <v>43</v>
      </c>
      <c r="I29"/>
      <c r="J29" s="94">
        <f>+LaborNoSkill</f>
        <v>9</v>
      </c>
    </row>
    <row r="52" spans="1:24" ht="20.25">
      <c r="A52" s="47" t="str">
        <f>+A1</f>
        <v>Potential Profit for Central Leader</v>
      </c>
      <c r="B52" s="40"/>
      <c r="C52" s="40"/>
      <c r="D52" s="72"/>
      <c r="E52" s="72"/>
      <c r="F52" s="40"/>
      <c r="G52" s="40"/>
      <c r="H52" s="55"/>
    </row>
    <row r="53" spans="1:24">
      <c r="A53" s="39"/>
      <c r="B53" s="11"/>
      <c r="C53" s="11"/>
      <c r="D53" s="25"/>
      <c r="E53" s="25"/>
      <c r="F53" s="11"/>
      <c r="G53" s="11"/>
      <c r="H53" s="57"/>
    </row>
    <row r="54" spans="1:24">
      <c r="A54" s="43" t="s">
        <v>33</v>
      </c>
      <c r="B54" s="40"/>
      <c r="C54" s="40"/>
      <c r="D54" s="72"/>
      <c r="E54" s="72"/>
      <c r="F54" s="40"/>
      <c r="G54" s="40"/>
      <c r="H54" s="55"/>
    </row>
    <row r="55" spans="1:24">
      <c r="A55" s="48"/>
      <c r="B55" s="16"/>
      <c r="C55" s="16"/>
      <c r="D55" s="26"/>
      <c r="E55" s="26"/>
      <c r="F55" s="16"/>
      <c r="G55" s="16"/>
      <c r="H55" s="56"/>
    </row>
    <row r="56" spans="1:24">
      <c r="A56" s="48" t="s">
        <v>63</v>
      </c>
      <c r="B56" s="16"/>
      <c r="C56" s="16"/>
      <c r="D56" s="26"/>
      <c r="E56" s="26"/>
      <c r="F56" s="16"/>
      <c r="G56" s="16"/>
      <c r="H56" s="56"/>
    </row>
    <row r="57" spans="1:24">
      <c r="A57" s="48"/>
      <c r="B57" s="16"/>
      <c r="C57" s="16"/>
      <c r="D57" s="26"/>
      <c r="E57" s="26"/>
      <c r="F57" s="16"/>
      <c r="G57" s="16"/>
      <c r="H57" s="5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>
      <c r="A58" s="39"/>
      <c r="B58" s="11"/>
      <c r="C58" s="16"/>
      <c r="D58" s="26"/>
      <c r="E58" s="26"/>
      <c r="F58" s="16"/>
      <c r="G58" s="16"/>
      <c r="H58" s="5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>
      <c r="A59" s="38"/>
      <c r="B59" s="60" t="s">
        <v>36</v>
      </c>
      <c r="C59" s="63" t="s">
        <v>64</v>
      </c>
      <c r="D59" s="60" t="s">
        <v>61</v>
      </c>
      <c r="E59" s="89" t="s">
        <v>57</v>
      </c>
      <c r="F59" s="89" t="s">
        <v>49</v>
      </c>
      <c r="G59" s="60" t="s">
        <v>37</v>
      </c>
      <c r="H59" s="61" t="s">
        <v>37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1" customFormat="1">
      <c r="A60" s="39"/>
      <c r="B60" s="14" t="s">
        <v>38</v>
      </c>
      <c r="C60" s="64" t="s">
        <v>60</v>
      </c>
      <c r="D60" s="14" t="s">
        <v>60</v>
      </c>
      <c r="E60" s="31" t="s">
        <v>60</v>
      </c>
      <c r="F60" s="31" t="s">
        <v>60</v>
      </c>
      <c r="G60" s="14" t="s">
        <v>40</v>
      </c>
      <c r="H60" s="62" t="s">
        <v>41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>
      <c r="A61" s="38"/>
      <c r="B61" s="60">
        <v>200</v>
      </c>
      <c r="C61" s="71">
        <f>+CLYear8</f>
        <v>1982.4721435720123</v>
      </c>
      <c r="D61" s="72">
        <f>+F13</f>
        <v>443.23645853792959</v>
      </c>
      <c r="E61" s="72">
        <f>+B61*42*LaborPicking</f>
        <v>316.83058974358977</v>
      </c>
      <c r="F61" s="72">
        <f>SUM(C61:E61)</f>
        <v>2742.539191853532</v>
      </c>
      <c r="G61" s="68">
        <f>+F61/B61</f>
        <v>13.712695959267659</v>
      </c>
      <c r="H61" s="67">
        <f>+G61/42</f>
        <v>0.32649276093494428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>
      <c r="A62" s="48"/>
      <c r="B62" s="27">
        <f>+B61+100</f>
        <v>300</v>
      </c>
      <c r="C62" s="74">
        <f t="shared" ref="C62:C74" si="9">+CLYear8</f>
        <v>1982.4721435720123</v>
      </c>
      <c r="D62" s="26">
        <f>+D61</f>
        <v>443.23645853792959</v>
      </c>
      <c r="E62" s="26">
        <f t="shared" ref="E62:E74" si="10">+B62*42*LaborPicking</f>
        <v>475.24588461538463</v>
      </c>
      <c r="F62" s="26">
        <f>SUM(C62:E62)</f>
        <v>2900.9544867253267</v>
      </c>
      <c r="G62" s="32">
        <f>+F62/B62</f>
        <v>9.6698482890844222</v>
      </c>
      <c r="H62" s="52">
        <f>+G62/42</f>
        <v>0.23023448307343863</v>
      </c>
    </row>
    <row r="63" spans="1:24">
      <c r="A63" s="48"/>
      <c r="B63" s="27">
        <f t="shared" ref="B63:B71" si="11">+B62+100</f>
        <v>400</v>
      </c>
      <c r="C63" s="74">
        <f t="shared" si="9"/>
        <v>1982.4721435720123</v>
      </c>
      <c r="D63" s="26">
        <f t="shared" ref="D63:D71" si="12">+D62</f>
        <v>443.23645853792959</v>
      </c>
      <c r="E63" s="26">
        <f t="shared" si="10"/>
        <v>633.66117948717954</v>
      </c>
      <c r="F63" s="26">
        <f t="shared" ref="F63:F71" si="13">SUM(C63:E63)</f>
        <v>3059.3697815971218</v>
      </c>
      <c r="G63" s="32">
        <f t="shared" ref="G63:G71" si="14">+F63/B63</f>
        <v>7.6484244539928046</v>
      </c>
      <c r="H63" s="52">
        <f t="shared" ref="H63:H74" si="15">+G63/42</f>
        <v>0.18210534414268581</v>
      </c>
    </row>
    <row r="64" spans="1:24">
      <c r="A64" s="48"/>
      <c r="B64" s="27">
        <f t="shared" si="11"/>
        <v>500</v>
      </c>
      <c r="C64" s="74">
        <f t="shared" si="9"/>
        <v>1982.4721435720123</v>
      </c>
      <c r="D64" s="26">
        <f t="shared" si="12"/>
        <v>443.23645853792959</v>
      </c>
      <c r="E64" s="26">
        <f t="shared" si="10"/>
        <v>792.07647435897445</v>
      </c>
      <c r="F64" s="26">
        <f t="shared" si="13"/>
        <v>3217.7850764689165</v>
      </c>
      <c r="G64" s="32">
        <f t="shared" si="14"/>
        <v>6.4355701529378333</v>
      </c>
      <c r="H64" s="52">
        <f t="shared" si="15"/>
        <v>0.15322786078423412</v>
      </c>
    </row>
    <row r="65" spans="1:8">
      <c r="A65" s="48"/>
      <c r="B65" s="27">
        <f t="shared" si="11"/>
        <v>600</v>
      </c>
      <c r="C65" s="74">
        <f t="shared" si="9"/>
        <v>1982.4721435720123</v>
      </c>
      <c r="D65" s="26">
        <f t="shared" si="12"/>
        <v>443.23645853792959</v>
      </c>
      <c r="E65" s="26">
        <f t="shared" si="10"/>
        <v>950.49176923076925</v>
      </c>
      <c r="F65" s="26">
        <f t="shared" si="13"/>
        <v>3376.2003713407112</v>
      </c>
      <c r="G65" s="32">
        <f t="shared" si="14"/>
        <v>5.6270006189011852</v>
      </c>
      <c r="H65" s="52">
        <f t="shared" si="15"/>
        <v>0.13397620521193299</v>
      </c>
    </row>
    <row r="66" spans="1:8">
      <c r="A66" s="48"/>
      <c r="B66" s="27">
        <f t="shared" si="11"/>
        <v>700</v>
      </c>
      <c r="C66" s="74">
        <f t="shared" si="9"/>
        <v>1982.4721435720123</v>
      </c>
      <c r="D66" s="26">
        <f t="shared" si="12"/>
        <v>443.23645853792959</v>
      </c>
      <c r="E66" s="26">
        <f t="shared" si="10"/>
        <v>1108.9070641025642</v>
      </c>
      <c r="F66" s="26">
        <f t="shared" si="13"/>
        <v>3534.6156662125063</v>
      </c>
      <c r="G66" s="32">
        <f t="shared" si="14"/>
        <v>5.049450951732152</v>
      </c>
      <c r="H66" s="52">
        <f t="shared" si="15"/>
        <v>0.12022502266028934</v>
      </c>
    </row>
    <row r="67" spans="1:8">
      <c r="A67" s="48"/>
      <c r="B67" s="27">
        <f t="shared" si="11"/>
        <v>800</v>
      </c>
      <c r="C67" s="74">
        <f t="shared" si="9"/>
        <v>1982.4721435720123</v>
      </c>
      <c r="D67" s="26">
        <f t="shared" si="12"/>
        <v>443.23645853792959</v>
      </c>
      <c r="E67" s="26">
        <f t="shared" si="10"/>
        <v>1267.3223589743591</v>
      </c>
      <c r="F67" s="26">
        <f t="shared" si="13"/>
        <v>3693.0309610843015</v>
      </c>
      <c r="G67" s="32">
        <f t="shared" si="14"/>
        <v>4.6162887013553764</v>
      </c>
      <c r="H67" s="52">
        <f t="shared" si="15"/>
        <v>0.10991163574655657</v>
      </c>
    </row>
    <row r="68" spans="1:8">
      <c r="A68" s="48"/>
      <c r="B68" s="27">
        <f t="shared" si="11"/>
        <v>900</v>
      </c>
      <c r="C68" s="74">
        <f t="shared" si="9"/>
        <v>1982.4721435720123</v>
      </c>
      <c r="D68" s="26">
        <f t="shared" si="12"/>
        <v>443.23645853792959</v>
      </c>
      <c r="E68" s="26">
        <f t="shared" si="10"/>
        <v>1425.737653846154</v>
      </c>
      <c r="F68" s="26">
        <f t="shared" si="13"/>
        <v>3851.4462559560961</v>
      </c>
      <c r="G68" s="32">
        <f t="shared" si="14"/>
        <v>4.2793847288401068</v>
      </c>
      <c r="H68" s="52">
        <f t="shared" si="15"/>
        <v>0.10189011259143112</v>
      </c>
    </row>
    <row r="69" spans="1:8">
      <c r="A69" s="48"/>
      <c r="B69" s="27">
        <f t="shared" si="11"/>
        <v>1000</v>
      </c>
      <c r="C69" s="74">
        <f t="shared" si="9"/>
        <v>1982.4721435720123</v>
      </c>
      <c r="D69" s="26">
        <f t="shared" si="12"/>
        <v>443.23645853792959</v>
      </c>
      <c r="E69" s="26">
        <f t="shared" si="10"/>
        <v>1584.1529487179489</v>
      </c>
      <c r="F69" s="26">
        <f t="shared" si="13"/>
        <v>4009.8615508278908</v>
      </c>
      <c r="G69" s="32">
        <f t="shared" si="14"/>
        <v>4.0098615508278908</v>
      </c>
      <c r="H69" s="52">
        <f t="shared" si="15"/>
        <v>9.5472894067330727E-2</v>
      </c>
    </row>
    <row r="70" spans="1:8">
      <c r="A70" s="48"/>
      <c r="B70" s="27">
        <f t="shared" si="11"/>
        <v>1100</v>
      </c>
      <c r="C70" s="74">
        <f t="shared" si="9"/>
        <v>1982.4721435720123</v>
      </c>
      <c r="D70" s="26">
        <f t="shared" si="12"/>
        <v>443.23645853792959</v>
      </c>
      <c r="E70" s="26">
        <f t="shared" si="10"/>
        <v>1742.5682435897436</v>
      </c>
      <c r="F70" s="26">
        <f t="shared" si="13"/>
        <v>4168.2768456996855</v>
      </c>
      <c r="G70" s="32">
        <f t="shared" si="14"/>
        <v>3.7893425869997142</v>
      </c>
      <c r="H70" s="52">
        <f t="shared" si="15"/>
        <v>9.0222442547612247E-2</v>
      </c>
    </row>
    <row r="71" spans="1:8">
      <c r="A71" s="48"/>
      <c r="B71" s="27">
        <f t="shared" si="11"/>
        <v>1200</v>
      </c>
      <c r="C71" s="74">
        <f t="shared" si="9"/>
        <v>1982.4721435720123</v>
      </c>
      <c r="D71" s="26">
        <f t="shared" si="12"/>
        <v>443.23645853792959</v>
      </c>
      <c r="E71" s="26">
        <f t="shared" si="10"/>
        <v>1900.9835384615385</v>
      </c>
      <c r="F71" s="26">
        <f t="shared" si="13"/>
        <v>4326.6921405714802</v>
      </c>
      <c r="G71" s="32">
        <f t="shared" si="14"/>
        <v>3.6055767838095667</v>
      </c>
      <c r="H71" s="52">
        <f t="shared" si="15"/>
        <v>8.5847066281180162E-2</v>
      </c>
    </row>
    <row r="72" spans="1:8">
      <c r="A72" s="48"/>
      <c r="B72" s="27">
        <f>+B71+100</f>
        <v>1300</v>
      </c>
      <c r="C72" s="74">
        <f t="shared" si="9"/>
        <v>1982.4721435720123</v>
      </c>
      <c r="D72" s="26">
        <f>+D71</f>
        <v>443.23645853792959</v>
      </c>
      <c r="E72" s="26">
        <f t="shared" si="10"/>
        <v>2059.3988333333336</v>
      </c>
      <c r="F72" s="26">
        <f>SUM(C72:E72)</f>
        <v>4485.1074354432758</v>
      </c>
      <c r="G72" s="32">
        <f>+F72/B72</f>
        <v>3.4500826426486735</v>
      </c>
      <c r="H72" s="52">
        <f t="shared" si="15"/>
        <v>8.2144824824968418E-2</v>
      </c>
    </row>
    <row r="73" spans="1:8">
      <c r="A73" s="48"/>
      <c r="B73" s="27">
        <f>+B72+100</f>
        <v>1400</v>
      </c>
      <c r="C73" s="74">
        <f t="shared" si="9"/>
        <v>1982.4721435720123</v>
      </c>
      <c r="D73" s="26">
        <f>+D72</f>
        <v>443.23645853792959</v>
      </c>
      <c r="E73" s="26">
        <f t="shared" si="10"/>
        <v>2217.8141282051283</v>
      </c>
      <c r="F73" s="26">
        <f>SUM(C73:E73)</f>
        <v>4643.5227303150705</v>
      </c>
      <c r="G73" s="32">
        <f>+F73/B73</f>
        <v>3.3168019502250505</v>
      </c>
      <c r="H73" s="52">
        <f t="shared" si="15"/>
        <v>7.8971475005358352E-2</v>
      </c>
    </row>
    <row r="74" spans="1:8">
      <c r="A74" s="39"/>
      <c r="B74" s="14">
        <f>+B73+100</f>
        <v>1500</v>
      </c>
      <c r="C74" s="76">
        <f t="shared" si="9"/>
        <v>1982.4721435720123</v>
      </c>
      <c r="D74" s="25">
        <f>+D73</f>
        <v>443.23645853792959</v>
      </c>
      <c r="E74" s="25">
        <f t="shared" si="10"/>
        <v>2376.229423076923</v>
      </c>
      <c r="F74" s="25">
        <f>SUM(C74:E74)</f>
        <v>4801.9380251868652</v>
      </c>
      <c r="G74" s="15">
        <f>+F74/B74</f>
        <v>3.2012920167912435</v>
      </c>
      <c r="H74" s="54">
        <f t="shared" si="15"/>
        <v>7.6221238495029611E-2</v>
      </c>
    </row>
  </sheetData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5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workbookViewId="0">
      <selection activeCell="L2" sqref="L2:Q26"/>
    </sheetView>
  </sheetViews>
  <sheetFormatPr defaultRowHeight="12.75"/>
  <cols>
    <col min="4" max="5" width="9.140625" style="24"/>
    <col min="6" max="6" width="5.42578125" customWidth="1"/>
    <col min="9" max="11" width="9" customWidth="1"/>
  </cols>
  <sheetData>
    <row r="1" spans="1:17" ht="20.25">
      <c r="A1" s="47" t="s">
        <v>117</v>
      </c>
      <c r="B1" s="40"/>
      <c r="C1" s="40"/>
      <c r="D1" s="72"/>
      <c r="E1" s="72"/>
      <c r="F1" s="40"/>
      <c r="G1" s="40"/>
      <c r="H1" s="40"/>
      <c r="I1" s="55"/>
    </row>
    <row r="2" spans="1:17" s="10" customFormat="1" ht="18.75" customHeight="1">
      <c r="A2" s="85"/>
      <c r="B2" s="86"/>
      <c r="C2" s="86"/>
      <c r="D2" s="87"/>
      <c r="E2" s="87"/>
      <c r="F2" s="86"/>
      <c r="G2" s="86"/>
      <c r="H2" s="86"/>
      <c r="I2" s="88"/>
      <c r="M2" s="1387" t="s">
        <v>714</v>
      </c>
      <c r="N2" s="1388">
        <v>20</v>
      </c>
    </row>
    <row r="3" spans="1:17" s="1" customFormat="1">
      <c r="A3" s="44"/>
      <c r="B3" s="60" t="s">
        <v>54</v>
      </c>
      <c r="C3" s="60" t="s">
        <v>55</v>
      </c>
      <c r="D3" s="89" t="s">
        <v>56</v>
      </c>
      <c r="E3" s="89" t="s">
        <v>57</v>
      </c>
      <c r="F3" s="60"/>
      <c r="G3" s="60" t="s">
        <v>49</v>
      </c>
      <c r="H3" s="60" t="s">
        <v>56</v>
      </c>
      <c r="I3" s="61" t="s">
        <v>58</v>
      </c>
    </row>
    <row r="4" spans="1:17" s="27" customFormat="1">
      <c r="A4" s="65" t="s">
        <v>30</v>
      </c>
      <c r="B4" s="27" t="s">
        <v>36</v>
      </c>
      <c r="C4" s="27" t="s">
        <v>59</v>
      </c>
      <c r="D4" s="84" t="s">
        <v>60</v>
      </c>
      <c r="E4" s="84" t="s">
        <v>60</v>
      </c>
      <c r="F4" s="27" t="s">
        <v>61</v>
      </c>
      <c r="G4" s="27" t="s">
        <v>37</v>
      </c>
      <c r="H4" s="27" t="s">
        <v>62</v>
      </c>
      <c r="I4" s="42" t="s">
        <v>62</v>
      </c>
      <c r="L4" s="395"/>
      <c r="M4" s="395" t="s">
        <v>54</v>
      </c>
      <c r="N4" s="547" t="s">
        <v>55</v>
      </c>
      <c r="O4" s="547"/>
      <c r="P4" s="395" t="s">
        <v>56</v>
      </c>
      <c r="Q4" s="395" t="s">
        <v>58</v>
      </c>
    </row>
    <row r="5" spans="1:17">
      <c r="A5" s="44">
        <v>0</v>
      </c>
      <c r="B5" s="60">
        <f>+'Factors &amp; Yield'!D36</f>
        <v>0</v>
      </c>
      <c r="C5" s="40">
        <f>+B5*42*Price</f>
        <v>0</v>
      </c>
      <c r="D5" s="72">
        <f>+Year0</f>
        <v>794</v>
      </c>
      <c r="E5" s="72">
        <f>+B5*42*LaborPicking</f>
        <v>0</v>
      </c>
      <c r="F5" s="72">
        <f>+(+D5+E5)*0.5*IntOper+LandCost*IntLand</f>
        <v>383.82</v>
      </c>
      <c r="G5" s="72">
        <f>SUM(D5:F5)</f>
        <v>1177.82</v>
      </c>
      <c r="H5" s="72">
        <f>+C5-G5</f>
        <v>-1177.82</v>
      </c>
      <c r="I5" s="73">
        <f>+H5</f>
        <v>-1177.82</v>
      </c>
      <c r="L5" s="395" t="s">
        <v>30</v>
      </c>
      <c r="M5" s="395" t="s">
        <v>36</v>
      </c>
      <c r="N5" s="547" t="s">
        <v>59</v>
      </c>
      <c r="O5" s="547" t="s">
        <v>60</v>
      </c>
      <c r="P5" s="395" t="s">
        <v>62</v>
      </c>
      <c r="Q5" s="395" t="s">
        <v>62</v>
      </c>
    </row>
    <row r="6" spans="1:17">
      <c r="A6" s="65">
        <f>+A5+1</f>
        <v>1</v>
      </c>
      <c r="B6" s="27">
        <f>+'Factors &amp; Yield'!D37</f>
        <v>0</v>
      </c>
      <c r="C6" s="16">
        <f>+B6*42*Price</f>
        <v>0</v>
      </c>
      <c r="D6" s="26">
        <f>+VAYear1</f>
        <v>8430.6709004172517</v>
      </c>
      <c r="E6" s="26">
        <f t="shared" ref="E6:E25" si="0">+B6*42*LaborPicking</f>
        <v>0</v>
      </c>
      <c r="F6" s="26">
        <f t="shared" ref="F6:F25" si="1">+(+D6+E6)*0.5*IntOper+LandCost*IntLand</f>
        <v>612.92012701251758</v>
      </c>
      <c r="G6" s="26">
        <f t="shared" ref="G6:G25" si="2">SUM(D6:F6)</f>
        <v>9043.5910274297694</v>
      </c>
      <c r="H6" s="26">
        <f>+C6-G6</f>
        <v>-9043.5910274297694</v>
      </c>
      <c r="I6" s="75">
        <f t="shared" ref="I6:I25" si="3">+H6+I5</f>
        <v>-10221.411027429769</v>
      </c>
      <c r="L6" s="395">
        <v>0</v>
      </c>
      <c r="M6" s="395">
        <v>0</v>
      </c>
      <c r="N6" s="98">
        <f>M6*$N$2</f>
        <v>0</v>
      </c>
      <c r="O6" s="1365">
        <f>D5+E5</f>
        <v>794</v>
      </c>
      <c r="P6" s="1365">
        <f>N6-O6</f>
        <v>-794</v>
      </c>
      <c r="Q6" s="1365">
        <f>+P6</f>
        <v>-794</v>
      </c>
    </row>
    <row r="7" spans="1:17">
      <c r="A7" s="65">
        <f>+A6+1</f>
        <v>2</v>
      </c>
      <c r="B7" s="27">
        <f>+'Factors &amp; Yield'!D38</f>
        <v>0</v>
      </c>
      <c r="C7" s="16">
        <f t="shared" ref="C7:C25" si="4">+B7*42*Price</f>
        <v>0</v>
      </c>
      <c r="D7" s="26">
        <f>+VAYear2</f>
        <v>1546.4753419902963</v>
      </c>
      <c r="E7" s="26">
        <f t="shared" si="0"/>
        <v>0</v>
      </c>
      <c r="F7" s="26">
        <f t="shared" si="1"/>
        <v>406.39426025970886</v>
      </c>
      <c r="G7" s="26">
        <f t="shared" si="2"/>
        <v>1952.8696022500053</v>
      </c>
      <c r="H7" s="26">
        <f t="shared" ref="H7:H25" si="5">+C7-G7</f>
        <v>-1952.8696022500053</v>
      </c>
      <c r="I7" s="75">
        <f t="shared" si="3"/>
        <v>-12174.280629679775</v>
      </c>
      <c r="L7" s="395">
        <f>+L6+1</f>
        <v>1</v>
      </c>
      <c r="M7" s="395">
        <v>0</v>
      </c>
      <c r="N7" s="98">
        <f t="shared" ref="N7:N26" si="6">M7*$N$2</f>
        <v>0</v>
      </c>
      <c r="O7" s="1365">
        <f t="shared" ref="O7:O26" si="7">D6+E6</f>
        <v>8430.6709004172517</v>
      </c>
      <c r="P7" s="1365">
        <f t="shared" ref="P7:P26" si="8">N7-O7</f>
        <v>-8430.6709004172517</v>
      </c>
      <c r="Q7" s="1365">
        <f t="shared" ref="Q7:Q26" si="9">+P7+Q6</f>
        <v>-9224.6709004172517</v>
      </c>
    </row>
    <row r="8" spans="1:17">
      <c r="A8" s="65">
        <f t="shared" ref="A8:A25" si="10">+A7+1</f>
        <v>3</v>
      </c>
      <c r="B8" s="27">
        <f>+'Factors &amp; Yield'!D39</f>
        <v>150</v>
      </c>
      <c r="C8" s="16">
        <f t="shared" si="4"/>
        <v>1260</v>
      </c>
      <c r="D8" s="26">
        <f>+VAYear3</f>
        <v>1456.5402191601638</v>
      </c>
      <c r="E8" s="26">
        <f t="shared" si="0"/>
        <v>237.62294230769231</v>
      </c>
      <c r="F8" s="26">
        <f t="shared" si="1"/>
        <v>410.82489484403567</v>
      </c>
      <c r="G8" s="26">
        <f t="shared" si="2"/>
        <v>2104.9880563118918</v>
      </c>
      <c r="H8" s="26">
        <f t="shared" si="5"/>
        <v>-844.9880563118918</v>
      </c>
      <c r="I8" s="75">
        <f t="shared" si="3"/>
        <v>-13019.268685991667</v>
      </c>
      <c r="L8" s="395">
        <f>+L7+1</f>
        <v>2</v>
      </c>
      <c r="M8" s="395">
        <v>0</v>
      </c>
      <c r="N8" s="98">
        <f t="shared" si="6"/>
        <v>0</v>
      </c>
      <c r="O8" s="1365">
        <f t="shared" si="7"/>
        <v>1546.4753419902963</v>
      </c>
      <c r="P8" s="1365">
        <f t="shared" si="8"/>
        <v>-1546.4753419902963</v>
      </c>
      <c r="Q8" s="1365">
        <f t="shared" si="9"/>
        <v>-10771.146242407547</v>
      </c>
    </row>
    <row r="9" spans="1:17">
      <c r="A9" s="65">
        <f t="shared" si="10"/>
        <v>4</v>
      </c>
      <c r="B9" s="27">
        <f>+'Factors &amp; Yield'!D40</f>
        <v>300</v>
      </c>
      <c r="C9" s="16">
        <f t="shared" si="4"/>
        <v>2520</v>
      </c>
      <c r="D9" s="26">
        <f>+VAYear4</f>
        <v>1752.9112071065924</v>
      </c>
      <c r="E9" s="26">
        <f t="shared" si="0"/>
        <v>475.24588461538463</v>
      </c>
      <c r="F9" s="26">
        <f t="shared" si="1"/>
        <v>426.8447127516593</v>
      </c>
      <c r="G9" s="26">
        <f t="shared" si="2"/>
        <v>2655.0018044736362</v>
      </c>
      <c r="H9" s="26">
        <f t="shared" si="5"/>
        <v>-135.00180447363618</v>
      </c>
      <c r="I9" s="75">
        <f t="shared" si="3"/>
        <v>-13154.270490465304</v>
      </c>
      <c r="L9" s="395">
        <f t="shared" ref="L9:L26" si="11">+L8+1</f>
        <v>3</v>
      </c>
      <c r="M9" s="395">
        <v>150</v>
      </c>
      <c r="N9" s="98">
        <f t="shared" si="6"/>
        <v>3000</v>
      </c>
      <c r="O9" s="1365">
        <f t="shared" si="7"/>
        <v>1694.1631614678561</v>
      </c>
      <c r="P9" s="1365">
        <f t="shared" si="8"/>
        <v>1305.8368385321439</v>
      </c>
      <c r="Q9" s="1365">
        <f t="shared" si="9"/>
        <v>-9465.3094038754025</v>
      </c>
    </row>
    <row r="10" spans="1:17">
      <c r="A10" s="65">
        <f t="shared" si="10"/>
        <v>5</v>
      </c>
      <c r="B10" s="27">
        <f>+'Factors &amp; Yield'!D41</f>
        <v>600</v>
      </c>
      <c r="C10" s="16">
        <f t="shared" si="4"/>
        <v>5040</v>
      </c>
      <c r="D10" s="26">
        <f>+VAYear5</f>
        <v>1732.5858213923066</v>
      </c>
      <c r="E10" s="26">
        <f t="shared" si="0"/>
        <v>950.49176923076925</v>
      </c>
      <c r="F10" s="26">
        <f t="shared" si="1"/>
        <v>440.49232771869225</v>
      </c>
      <c r="G10" s="26">
        <f t="shared" si="2"/>
        <v>3123.5699183417678</v>
      </c>
      <c r="H10" s="26">
        <f t="shared" si="5"/>
        <v>1916.4300816582322</v>
      </c>
      <c r="I10" s="75">
        <f t="shared" si="3"/>
        <v>-11237.840408807071</v>
      </c>
      <c r="L10" s="395">
        <f t="shared" si="11"/>
        <v>4</v>
      </c>
      <c r="M10" s="395">
        <v>300</v>
      </c>
      <c r="N10" s="98">
        <f t="shared" si="6"/>
        <v>6000</v>
      </c>
      <c r="O10" s="1365">
        <f t="shared" si="7"/>
        <v>2228.1570917219769</v>
      </c>
      <c r="P10" s="1365">
        <f t="shared" si="8"/>
        <v>3771.8429082780231</v>
      </c>
      <c r="Q10" s="1365">
        <f t="shared" si="9"/>
        <v>-5693.4664955973794</v>
      </c>
    </row>
    <row r="11" spans="1:17">
      <c r="A11" s="65">
        <f t="shared" si="10"/>
        <v>6</v>
      </c>
      <c r="B11" s="27">
        <f>+'Factors &amp; Yield'!D42</f>
        <v>700</v>
      </c>
      <c r="C11" s="16">
        <f t="shared" si="4"/>
        <v>5880</v>
      </c>
      <c r="D11" s="26">
        <f>+VAYear6</f>
        <v>1978.7268678208782</v>
      </c>
      <c r="E11" s="26">
        <f t="shared" si="0"/>
        <v>1108.9070641025642</v>
      </c>
      <c r="F11" s="26">
        <f t="shared" si="1"/>
        <v>452.62901795770324</v>
      </c>
      <c r="G11" s="26">
        <f t="shared" si="2"/>
        <v>3540.2629498811452</v>
      </c>
      <c r="H11" s="26">
        <f t="shared" si="5"/>
        <v>2339.7370501188548</v>
      </c>
      <c r="I11" s="75">
        <f t="shared" si="3"/>
        <v>-8898.1033586882168</v>
      </c>
      <c r="L11" s="395">
        <f t="shared" si="11"/>
        <v>5</v>
      </c>
      <c r="M11" s="395">
        <v>600</v>
      </c>
      <c r="N11" s="98">
        <f t="shared" si="6"/>
        <v>12000</v>
      </c>
      <c r="O11" s="1365">
        <f t="shared" si="7"/>
        <v>2683.0775906230756</v>
      </c>
      <c r="P11" s="1365">
        <f t="shared" si="8"/>
        <v>9316.9224093769244</v>
      </c>
      <c r="Q11" s="1365">
        <f t="shared" si="9"/>
        <v>3623.455913779545</v>
      </c>
    </row>
    <row r="12" spans="1:17">
      <c r="A12" s="65">
        <f t="shared" si="10"/>
        <v>7</v>
      </c>
      <c r="B12" s="27">
        <f>+'Factors &amp; Yield'!D43</f>
        <v>750</v>
      </c>
      <c r="C12" s="16">
        <f t="shared" si="4"/>
        <v>6300</v>
      </c>
      <c r="D12" s="26">
        <f>+VAYear6</f>
        <v>1978.7268678208782</v>
      </c>
      <c r="E12" s="26">
        <f t="shared" si="0"/>
        <v>1188.1147115384615</v>
      </c>
      <c r="F12" s="26">
        <f t="shared" si="1"/>
        <v>455.00524738078019</v>
      </c>
      <c r="G12" s="26">
        <f t="shared" si="2"/>
        <v>3621.8468267401195</v>
      </c>
      <c r="H12" s="26">
        <f t="shared" si="5"/>
        <v>2678.1531732598805</v>
      </c>
      <c r="I12" s="75">
        <f t="shared" si="3"/>
        <v>-6219.9501854283362</v>
      </c>
      <c r="L12" s="395">
        <f t="shared" si="11"/>
        <v>6</v>
      </c>
      <c r="M12" s="395">
        <v>700</v>
      </c>
      <c r="N12" s="98">
        <f t="shared" si="6"/>
        <v>14000</v>
      </c>
      <c r="O12" s="1365">
        <f t="shared" si="7"/>
        <v>3087.6339319234421</v>
      </c>
      <c r="P12" s="1365">
        <f t="shared" si="8"/>
        <v>10912.366068076557</v>
      </c>
      <c r="Q12" s="1365">
        <f t="shared" si="9"/>
        <v>14535.821981856101</v>
      </c>
    </row>
    <row r="13" spans="1:17">
      <c r="A13" s="65">
        <f t="shared" si="10"/>
        <v>8</v>
      </c>
      <c r="B13" s="27">
        <f>+'Factors &amp; Yield'!D44</f>
        <v>750</v>
      </c>
      <c r="C13" s="16">
        <f t="shared" si="4"/>
        <v>6300</v>
      </c>
      <c r="D13" s="26">
        <f t="shared" ref="D13:D25" si="12">+VAYear6</f>
        <v>1978.7268678208782</v>
      </c>
      <c r="E13" s="26">
        <f t="shared" si="0"/>
        <v>1188.1147115384615</v>
      </c>
      <c r="F13" s="26">
        <f t="shared" si="1"/>
        <v>455.00524738078019</v>
      </c>
      <c r="G13" s="26">
        <f t="shared" si="2"/>
        <v>3621.8468267401195</v>
      </c>
      <c r="H13" s="26">
        <f t="shared" si="5"/>
        <v>2678.1531732598805</v>
      </c>
      <c r="I13" s="75">
        <f t="shared" si="3"/>
        <v>-3541.7970121684557</v>
      </c>
      <c r="L13" s="395">
        <f t="shared" si="11"/>
        <v>7</v>
      </c>
      <c r="M13" s="395">
        <v>750</v>
      </c>
      <c r="N13" s="98">
        <f t="shared" si="6"/>
        <v>15000</v>
      </c>
      <c r="O13" s="1365">
        <f t="shared" si="7"/>
        <v>3166.8415793593394</v>
      </c>
      <c r="P13" s="1365">
        <f t="shared" si="8"/>
        <v>11833.158420640661</v>
      </c>
      <c r="Q13" s="1365">
        <f t="shared" si="9"/>
        <v>26368.98040249676</v>
      </c>
    </row>
    <row r="14" spans="1:17">
      <c r="A14" s="65">
        <f t="shared" si="10"/>
        <v>9</v>
      </c>
      <c r="B14" s="27">
        <f>+'Factors &amp; Yield'!D45</f>
        <v>750</v>
      </c>
      <c r="C14" s="16">
        <f t="shared" si="4"/>
        <v>6300</v>
      </c>
      <c r="D14" s="26">
        <f t="shared" si="12"/>
        <v>1978.7268678208782</v>
      </c>
      <c r="E14" s="26">
        <f t="shared" si="0"/>
        <v>1188.1147115384615</v>
      </c>
      <c r="F14" s="26">
        <f t="shared" si="1"/>
        <v>455.00524738078019</v>
      </c>
      <c r="G14" s="26">
        <f t="shared" si="2"/>
        <v>3621.8468267401195</v>
      </c>
      <c r="H14" s="26">
        <f t="shared" si="5"/>
        <v>2678.1531732598805</v>
      </c>
      <c r="I14" s="75">
        <f t="shared" si="3"/>
        <v>-863.64383890857516</v>
      </c>
      <c r="L14" s="395">
        <f t="shared" si="11"/>
        <v>8</v>
      </c>
      <c r="M14" s="395">
        <v>750</v>
      </c>
      <c r="N14" s="98">
        <f t="shared" si="6"/>
        <v>15000</v>
      </c>
      <c r="O14" s="1365">
        <f t="shared" si="7"/>
        <v>3166.8415793593394</v>
      </c>
      <c r="P14" s="1365">
        <f t="shared" si="8"/>
        <v>11833.158420640661</v>
      </c>
      <c r="Q14" s="1365">
        <f t="shared" si="9"/>
        <v>38202.138823137422</v>
      </c>
    </row>
    <row r="15" spans="1:17">
      <c r="A15" s="65">
        <f t="shared" si="10"/>
        <v>10</v>
      </c>
      <c r="B15" s="27">
        <f>+'Factors &amp; Yield'!D46</f>
        <v>750</v>
      </c>
      <c r="C15" s="16">
        <f t="shared" si="4"/>
        <v>6300</v>
      </c>
      <c r="D15" s="26">
        <f t="shared" si="12"/>
        <v>1978.7268678208782</v>
      </c>
      <c r="E15" s="26">
        <f t="shared" si="0"/>
        <v>1188.1147115384615</v>
      </c>
      <c r="F15" s="26">
        <f t="shared" si="1"/>
        <v>455.00524738078019</v>
      </c>
      <c r="G15" s="26">
        <f t="shared" si="2"/>
        <v>3621.8468267401195</v>
      </c>
      <c r="H15" s="26">
        <f t="shared" si="5"/>
        <v>2678.1531732598805</v>
      </c>
      <c r="I15" s="75">
        <f t="shared" si="3"/>
        <v>1814.5093343513054</v>
      </c>
      <c r="L15" s="395">
        <f t="shared" si="11"/>
        <v>9</v>
      </c>
      <c r="M15" s="395">
        <v>750</v>
      </c>
      <c r="N15" s="98">
        <f t="shared" si="6"/>
        <v>15000</v>
      </c>
      <c r="O15" s="1365">
        <f t="shared" si="7"/>
        <v>3166.8415793593394</v>
      </c>
      <c r="P15" s="1365">
        <f t="shared" si="8"/>
        <v>11833.158420640661</v>
      </c>
      <c r="Q15" s="1365">
        <f t="shared" si="9"/>
        <v>50035.297243778085</v>
      </c>
    </row>
    <row r="16" spans="1:17">
      <c r="A16" s="65">
        <f t="shared" si="10"/>
        <v>11</v>
      </c>
      <c r="B16" s="27">
        <f>+'Factors &amp; Yield'!D47</f>
        <v>750</v>
      </c>
      <c r="C16" s="16">
        <f t="shared" si="4"/>
        <v>6300</v>
      </c>
      <c r="D16" s="26">
        <f t="shared" si="12"/>
        <v>1978.7268678208782</v>
      </c>
      <c r="E16" s="26">
        <f t="shared" si="0"/>
        <v>1188.1147115384615</v>
      </c>
      <c r="F16" s="26">
        <f t="shared" si="1"/>
        <v>455.00524738078019</v>
      </c>
      <c r="G16" s="26">
        <f t="shared" si="2"/>
        <v>3621.8468267401195</v>
      </c>
      <c r="H16" s="26">
        <f t="shared" si="5"/>
        <v>2678.1531732598805</v>
      </c>
      <c r="I16" s="75">
        <f t="shared" si="3"/>
        <v>4492.6625076111859</v>
      </c>
      <c r="L16" s="395">
        <f t="shared" si="11"/>
        <v>10</v>
      </c>
      <c r="M16" s="395">
        <v>750</v>
      </c>
      <c r="N16" s="98">
        <f t="shared" si="6"/>
        <v>15000</v>
      </c>
      <c r="O16" s="1365">
        <f t="shared" si="7"/>
        <v>3166.8415793593394</v>
      </c>
      <c r="P16" s="1365">
        <f t="shared" si="8"/>
        <v>11833.158420640661</v>
      </c>
      <c r="Q16" s="1365">
        <f t="shared" si="9"/>
        <v>61868.455664418747</v>
      </c>
    </row>
    <row r="17" spans="1:17">
      <c r="A17" s="65">
        <f t="shared" si="10"/>
        <v>12</v>
      </c>
      <c r="B17" s="27">
        <f>+'Factors &amp; Yield'!D48</f>
        <v>750</v>
      </c>
      <c r="C17" s="16">
        <f t="shared" si="4"/>
        <v>6300</v>
      </c>
      <c r="D17" s="26">
        <f t="shared" si="12"/>
        <v>1978.7268678208782</v>
      </c>
      <c r="E17" s="26">
        <f t="shared" si="0"/>
        <v>1188.1147115384615</v>
      </c>
      <c r="F17" s="26">
        <f t="shared" si="1"/>
        <v>455.00524738078019</v>
      </c>
      <c r="G17" s="26">
        <f t="shared" si="2"/>
        <v>3621.8468267401195</v>
      </c>
      <c r="H17" s="26">
        <f t="shared" si="5"/>
        <v>2678.1531732598805</v>
      </c>
      <c r="I17" s="75">
        <f t="shared" si="3"/>
        <v>7170.8156808710664</v>
      </c>
      <c r="L17" s="395">
        <f t="shared" si="11"/>
        <v>11</v>
      </c>
      <c r="M17" s="395">
        <v>750</v>
      </c>
      <c r="N17" s="98">
        <f t="shared" si="6"/>
        <v>15000</v>
      </c>
      <c r="O17" s="1365">
        <f t="shared" si="7"/>
        <v>3166.8415793593394</v>
      </c>
      <c r="P17" s="1365">
        <f t="shared" si="8"/>
        <v>11833.158420640661</v>
      </c>
      <c r="Q17" s="1365">
        <f t="shared" si="9"/>
        <v>73701.614085059409</v>
      </c>
    </row>
    <row r="18" spans="1:17">
      <c r="A18" s="65">
        <f t="shared" si="10"/>
        <v>13</v>
      </c>
      <c r="B18" s="27">
        <f>+'Factors &amp; Yield'!D49</f>
        <v>750</v>
      </c>
      <c r="C18" s="16">
        <f t="shared" si="4"/>
        <v>6300</v>
      </c>
      <c r="D18" s="26">
        <f t="shared" si="12"/>
        <v>1978.7268678208782</v>
      </c>
      <c r="E18" s="26">
        <f t="shared" si="0"/>
        <v>1188.1147115384615</v>
      </c>
      <c r="F18" s="26">
        <f t="shared" si="1"/>
        <v>455.00524738078019</v>
      </c>
      <c r="G18" s="26">
        <f t="shared" si="2"/>
        <v>3621.8468267401195</v>
      </c>
      <c r="H18" s="26">
        <f t="shared" si="5"/>
        <v>2678.1531732598805</v>
      </c>
      <c r="I18" s="75">
        <f t="shared" si="3"/>
        <v>9848.9688541309479</v>
      </c>
      <c r="L18" s="395">
        <f t="shared" si="11"/>
        <v>12</v>
      </c>
      <c r="M18" s="395">
        <v>750</v>
      </c>
      <c r="N18" s="98">
        <f t="shared" si="6"/>
        <v>15000</v>
      </c>
      <c r="O18" s="1365">
        <f t="shared" si="7"/>
        <v>3166.8415793593394</v>
      </c>
      <c r="P18" s="1365">
        <f t="shared" si="8"/>
        <v>11833.158420640661</v>
      </c>
      <c r="Q18" s="1365">
        <f t="shared" si="9"/>
        <v>85534.772505700064</v>
      </c>
    </row>
    <row r="19" spans="1:17">
      <c r="A19" s="65">
        <f t="shared" si="10"/>
        <v>14</v>
      </c>
      <c r="B19" s="27">
        <f>+'Factors &amp; Yield'!D50</f>
        <v>750</v>
      </c>
      <c r="C19" s="16">
        <f t="shared" si="4"/>
        <v>6300</v>
      </c>
      <c r="D19" s="26">
        <f t="shared" si="12"/>
        <v>1978.7268678208782</v>
      </c>
      <c r="E19" s="26">
        <f t="shared" si="0"/>
        <v>1188.1147115384615</v>
      </c>
      <c r="F19" s="26">
        <f t="shared" si="1"/>
        <v>455.00524738078019</v>
      </c>
      <c r="G19" s="26">
        <f t="shared" si="2"/>
        <v>3621.8468267401195</v>
      </c>
      <c r="H19" s="26">
        <f t="shared" si="5"/>
        <v>2678.1531732598805</v>
      </c>
      <c r="I19" s="75">
        <f t="shared" si="3"/>
        <v>12527.122027390829</v>
      </c>
      <c r="L19" s="395">
        <f t="shared" si="11"/>
        <v>13</v>
      </c>
      <c r="M19" s="395">
        <v>750</v>
      </c>
      <c r="N19" s="98">
        <f t="shared" si="6"/>
        <v>15000</v>
      </c>
      <c r="O19" s="1365">
        <f t="shared" si="7"/>
        <v>3166.8415793593394</v>
      </c>
      <c r="P19" s="1365">
        <f t="shared" si="8"/>
        <v>11833.158420640661</v>
      </c>
      <c r="Q19" s="1365">
        <f t="shared" si="9"/>
        <v>97367.930926340719</v>
      </c>
    </row>
    <row r="20" spans="1:17">
      <c r="A20" s="65">
        <f t="shared" si="10"/>
        <v>15</v>
      </c>
      <c r="B20" s="27">
        <f>+'Factors &amp; Yield'!D51</f>
        <v>750</v>
      </c>
      <c r="C20" s="16">
        <f t="shared" si="4"/>
        <v>6300</v>
      </c>
      <c r="D20" s="26">
        <f t="shared" si="12"/>
        <v>1978.7268678208782</v>
      </c>
      <c r="E20" s="26">
        <f t="shared" si="0"/>
        <v>1188.1147115384615</v>
      </c>
      <c r="F20" s="26">
        <f t="shared" si="1"/>
        <v>455.00524738078019</v>
      </c>
      <c r="G20" s="26">
        <f t="shared" si="2"/>
        <v>3621.8468267401195</v>
      </c>
      <c r="H20" s="26">
        <f t="shared" si="5"/>
        <v>2678.1531732598805</v>
      </c>
      <c r="I20" s="75">
        <f t="shared" si="3"/>
        <v>15205.275200650711</v>
      </c>
      <c r="L20" s="395">
        <f t="shared" si="11"/>
        <v>14</v>
      </c>
      <c r="M20" s="395">
        <v>750</v>
      </c>
      <c r="N20" s="98">
        <f t="shared" si="6"/>
        <v>15000</v>
      </c>
      <c r="O20" s="1365">
        <f t="shared" si="7"/>
        <v>3166.8415793593394</v>
      </c>
      <c r="P20" s="1365">
        <f t="shared" si="8"/>
        <v>11833.158420640661</v>
      </c>
      <c r="Q20" s="1365">
        <f t="shared" si="9"/>
        <v>109201.08934698137</v>
      </c>
    </row>
    <row r="21" spans="1:17">
      <c r="A21" s="65">
        <f t="shared" si="10"/>
        <v>16</v>
      </c>
      <c r="B21" s="27">
        <f>+'Factors &amp; Yield'!D52</f>
        <v>750</v>
      </c>
      <c r="C21" s="16">
        <f t="shared" si="4"/>
        <v>6300</v>
      </c>
      <c r="D21" s="26">
        <f t="shared" si="12"/>
        <v>1978.7268678208782</v>
      </c>
      <c r="E21" s="26">
        <f t="shared" si="0"/>
        <v>1188.1147115384615</v>
      </c>
      <c r="F21" s="26">
        <f t="shared" si="1"/>
        <v>455.00524738078019</v>
      </c>
      <c r="G21" s="26">
        <f t="shared" si="2"/>
        <v>3621.8468267401195</v>
      </c>
      <c r="H21" s="26">
        <f t="shared" si="5"/>
        <v>2678.1531732598805</v>
      </c>
      <c r="I21" s="75">
        <f t="shared" si="3"/>
        <v>17883.428373910592</v>
      </c>
      <c r="L21" s="395">
        <f t="shared" si="11"/>
        <v>15</v>
      </c>
      <c r="M21" s="395">
        <v>750</v>
      </c>
      <c r="N21" s="98">
        <f t="shared" si="6"/>
        <v>15000</v>
      </c>
      <c r="O21" s="1365">
        <f t="shared" si="7"/>
        <v>3166.8415793593394</v>
      </c>
      <c r="P21" s="1365">
        <f t="shared" si="8"/>
        <v>11833.158420640661</v>
      </c>
      <c r="Q21" s="1365">
        <f t="shared" si="9"/>
        <v>121034.24776762203</v>
      </c>
    </row>
    <row r="22" spans="1:17">
      <c r="A22" s="65">
        <f t="shared" si="10"/>
        <v>17</v>
      </c>
      <c r="B22" s="27">
        <f>+'Factors &amp; Yield'!D53</f>
        <v>750</v>
      </c>
      <c r="C22" s="16">
        <f t="shared" si="4"/>
        <v>6300</v>
      </c>
      <c r="D22" s="26">
        <f t="shared" si="12"/>
        <v>1978.7268678208782</v>
      </c>
      <c r="E22" s="26">
        <f t="shared" si="0"/>
        <v>1188.1147115384615</v>
      </c>
      <c r="F22" s="26">
        <f t="shared" si="1"/>
        <v>455.00524738078019</v>
      </c>
      <c r="G22" s="26">
        <f t="shared" si="2"/>
        <v>3621.8468267401195</v>
      </c>
      <c r="H22" s="26">
        <f t="shared" si="5"/>
        <v>2678.1531732598805</v>
      </c>
      <c r="I22" s="75">
        <f t="shared" si="3"/>
        <v>20561.581547170474</v>
      </c>
      <c r="L22" s="395">
        <f t="shared" si="11"/>
        <v>16</v>
      </c>
      <c r="M22" s="395">
        <v>750</v>
      </c>
      <c r="N22" s="98">
        <f t="shared" si="6"/>
        <v>15000</v>
      </c>
      <c r="O22" s="1365">
        <f t="shared" si="7"/>
        <v>3166.8415793593394</v>
      </c>
      <c r="P22" s="1365">
        <f t="shared" si="8"/>
        <v>11833.158420640661</v>
      </c>
      <c r="Q22" s="1365">
        <f t="shared" si="9"/>
        <v>132867.40618826268</v>
      </c>
    </row>
    <row r="23" spans="1:17">
      <c r="A23" s="65">
        <f t="shared" si="10"/>
        <v>18</v>
      </c>
      <c r="B23" s="27">
        <f>+'Factors &amp; Yield'!D54</f>
        <v>750</v>
      </c>
      <c r="C23" s="16">
        <f t="shared" si="4"/>
        <v>6300</v>
      </c>
      <c r="D23" s="26">
        <f t="shared" si="12"/>
        <v>1978.7268678208782</v>
      </c>
      <c r="E23" s="26">
        <f t="shared" si="0"/>
        <v>1188.1147115384615</v>
      </c>
      <c r="F23" s="26">
        <f t="shared" si="1"/>
        <v>455.00524738078019</v>
      </c>
      <c r="G23" s="26">
        <f t="shared" si="2"/>
        <v>3621.8468267401195</v>
      </c>
      <c r="H23" s="26">
        <f t="shared" si="5"/>
        <v>2678.1531732598805</v>
      </c>
      <c r="I23" s="75">
        <f t="shared" si="3"/>
        <v>23239.734720430355</v>
      </c>
      <c r="L23" s="395">
        <f t="shared" si="11"/>
        <v>17</v>
      </c>
      <c r="M23" s="395">
        <v>750</v>
      </c>
      <c r="N23" s="98">
        <f t="shared" si="6"/>
        <v>15000</v>
      </c>
      <c r="O23" s="1365">
        <f t="shared" si="7"/>
        <v>3166.8415793593394</v>
      </c>
      <c r="P23" s="1365">
        <f t="shared" si="8"/>
        <v>11833.158420640661</v>
      </c>
      <c r="Q23" s="1365">
        <f t="shared" si="9"/>
        <v>144700.56460890334</v>
      </c>
    </row>
    <row r="24" spans="1:17">
      <c r="A24" s="65">
        <f t="shared" si="10"/>
        <v>19</v>
      </c>
      <c r="B24" s="27">
        <f>+'Factors &amp; Yield'!D55</f>
        <v>750</v>
      </c>
      <c r="C24" s="16">
        <f t="shared" si="4"/>
        <v>6300</v>
      </c>
      <c r="D24" s="26">
        <f t="shared" si="12"/>
        <v>1978.7268678208782</v>
      </c>
      <c r="E24" s="26">
        <f t="shared" si="0"/>
        <v>1188.1147115384615</v>
      </c>
      <c r="F24" s="26">
        <f t="shared" si="1"/>
        <v>455.00524738078019</v>
      </c>
      <c r="G24" s="26">
        <f t="shared" si="2"/>
        <v>3621.8468267401195</v>
      </c>
      <c r="H24" s="26">
        <f t="shared" si="5"/>
        <v>2678.1531732598805</v>
      </c>
      <c r="I24" s="75">
        <f t="shared" si="3"/>
        <v>25917.887893690237</v>
      </c>
      <c r="L24" s="395">
        <f t="shared" si="11"/>
        <v>18</v>
      </c>
      <c r="M24" s="395">
        <v>750</v>
      </c>
      <c r="N24" s="98">
        <f t="shared" si="6"/>
        <v>15000</v>
      </c>
      <c r="O24" s="1365">
        <f t="shared" si="7"/>
        <v>3166.8415793593394</v>
      </c>
      <c r="P24" s="1365">
        <f t="shared" si="8"/>
        <v>11833.158420640661</v>
      </c>
      <c r="Q24" s="1365">
        <f t="shared" si="9"/>
        <v>156533.72302954399</v>
      </c>
    </row>
    <row r="25" spans="1:17" s="16" customFormat="1">
      <c r="A25" s="45">
        <f t="shared" si="10"/>
        <v>20</v>
      </c>
      <c r="B25" s="14">
        <f>+'Factors &amp; Yield'!D56</f>
        <v>750</v>
      </c>
      <c r="C25" s="11">
        <f t="shared" si="4"/>
        <v>6300</v>
      </c>
      <c r="D25" s="25">
        <f t="shared" si="12"/>
        <v>1978.7268678208782</v>
      </c>
      <c r="E25" s="25">
        <f t="shared" si="0"/>
        <v>1188.1147115384615</v>
      </c>
      <c r="F25" s="25">
        <f t="shared" si="1"/>
        <v>455.00524738078019</v>
      </c>
      <c r="G25" s="25">
        <f t="shared" si="2"/>
        <v>3621.8468267401195</v>
      </c>
      <c r="H25" s="25">
        <f t="shared" si="5"/>
        <v>2678.1531732598805</v>
      </c>
      <c r="I25" s="77">
        <f t="shared" si="3"/>
        <v>28596.041066950118</v>
      </c>
      <c r="L25" s="395">
        <f t="shared" si="11"/>
        <v>19</v>
      </c>
      <c r="M25" s="395">
        <v>750</v>
      </c>
      <c r="N25" s="98">
        <f t="shared" si="6"/>
        <v>15000</v>
      </c>
      <c r="O25" s="1365">
        <f t="shared" si="7"/>
        <v>3166.8415793593394</v>
      </c>
      <c r="P25" s="1365">
        <f t="shared" si="8"/>
        <v>11833.158420640661</v>
      </c>
      <c r="Q25" s="1365">
        <f t="shared" si="9"/>
        <v>168366.88145018465</v>
      </c>
    </row>
    <row r="26" spans="1:17">
      <c r="A26" s="48"/>
      <c r="B26" s="16"/>
      <c r="C26" s="16"/>
      <c r="D26" s="26"/>
      <c r="E26" s="26"/>
      <c r="F26" s="16"/>
      <c r="G26" s="16"/>
      <c r="H26" s="16"/>
      <c r="I26" s="56"/>
      <c r="L26" s="395">
        <f t="shared" si="11"/>
        <v>20</v>
      </c>
      <c r="M26" s="395">
        <v>750</v>
      </c>
      <c r="N26" s="98">
        <f t="shared" si="6"/>
        <v>15000</v>
      </c>
      <c r="O26" s="1365">
        <f t="shared" si="7"/>
        <v>3166.8415793593394</v>
      </c>
      <c r="P26" s="1365">
        <f t="shared" si="8"/>
        <v>11833.158420640661</v>
      </c>
      <c r="Q26" s="1365">
        <f t="shared" si="9"/>
        <v>180200.03987082531</v>
      </c>
    </row>
    <row r="27" spans="1:17">
      <c r="A27" s="39"/>
      <c r="B27" s="31">
        <f>SUM(B5:B26)</f>
        <v>12250</v>
      </c>
      <c r="C27" s="25">
        <f t="shared" ref="C27:H27" si="13">SUM(C5:C26)</f>
        <v>102900</v>
      </c>
      <c r="D27" s="25">
        <f t="shared" si="13"/>
        <v>45394.086507379783</v>
      </c>
      <c r="E27" s="25">
        <f t="shared" si="13"/>
        <v>19405.873621794872</v>
      </c>
      <c r="F27" s="25">
        <f t="shared" si="13"/>
        <v>9503.9988038752399</v>
      </c>
      <c r="G27" s="25">
        <f t="shared" si="13"/>
        <v>74303.958933049886</v>
      </c>
      <c r="H27" s="25">
        <f t="shared" si="13"/>
        <v>28596.041066950118</v>
      </c>
      <c r="I27" s="77">
        <f>+I25</f>
        <v>28596.041066950118</v>
      </c>
    </row>
    <row r="29" spans="1:17" s="6" customFormat="1" ht="20.25">
      <c r="A29" s="6" t="s">
        <v>42</v>
      </c>
      <c r="D29" s="6">
        <f>+Price</f>
        <v>0.2</v>
      </c>
      <c r="E29" s="97"/>
      <c r="F29" s="6" t="s">
        <v>43</v>
      </c>
      <c r="I29"/>
      <c r="J29" s="94">
        <f>+LaborNoSkill</f>
        <v>9</v>
      </c>
    </row>
    <row r="52" spans="1:25" ht="20.25">
      <c r="A52" s="47" t="str">
        <f>+A1</f>
        <v>Potential Profit for Vertical Axe</v>
      </c>
      <c r="B52" s="40"/>
      <c r="C52" s="40"/>
      <c r="D52" s="72"/>
      <c r="E52" s="72"/>
      <c r="F52" s="40"/>
      <c r="G52" s="40"/>
      <c r="H52" s="55"/>
    </row>
    <row r="53" spans="1:25">
      <c r="A53" s="39"/>
      <c r="B53" s="11"/>
      <c r="C53" s="11"/>
      <c r="D53" s="25"/>
      <c r="E53" s="25"/>
      <c r="F53" s="11"/>
      <c r="G53" s="11"/>
      <c r="H53" s="57"/>
    </row>
    <row r="54" spans="1:25">
      <c r="A54" s="43" t="s">
        <v>33</v>
      </c>
      <c r="B54" s="40"/>
      <c r="C54" s="40"/>
      <c r="D54" s="72"/>
      <c r="E54" s="72"/>
      <c r="F54" s="40"/>
      <c r="G54" s="40"/>
      <c r="H54" s="55"/>
    </row>
    <row r="55" spans="1:25">
      <c r="A55" s="48"/>
      <c r="B55" s="16"/>
      <c r="C55" s="16"/>
      <c r="D55" s="26"/>
      <c r="E55" s="26"/>
      <c r="F55" s="16"/>
      <c r="G55" s="16"/>
      <c r="H55" s="56"/>
    </row>
    <row r="56" spans="1:25">
      <c r="A56" s="48" t="s">
        <v>118</v>
      </c>
      <c r="B56" s="16"/>
      <c r="C56" s="16"/>
      <c r="D56" s="26"/>
      <c r="E56" s="26"/>
      <c r="F56" s="16"/>
      <c r="G56" s="16"/>
      <c r="H56" s="56"/>
    </row>
    <row r="57" spans="1:25">
      <c r="A57" s="48"/>
      <c r="B57" s="16"/>
      <c r="C57" s="16"/>
      <c r="D57" s="26"/>
      <c r="E57" s="26"/>
      <c r="F57" s="16"/>
      <c r="G57" s="16"/>
      <c r="H57" s="5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>
      <c r="A58" s="39"/>
      <c r="B58" s="11"/>
      <c r="C58" s="16"/>
      <c r="D58" s="26"/>
      <c r="E58" s="26"/>
      <c r="F58" s="16"/>
      <c r="G58" s="16"/>
      <c r="H58" s="5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>
      <c r="A59" s="38"/>
      <c r="B59" s="60" t="s">
        <v>36</v>
      </c>
      <c r="C59" s="63" t="s">
        <v>64</v>
      </c>
      <c r="D59" s="60" t="s">
        <v>61</v>
      </c>
      <c r="E59" s="89" t="s">
        <v>57</v>
      </c>
      <c r="F59" s="89" t="s">
        <v>49</v>
      </c>
      <c r="G59" s="60" t="s">
        <v>37</v>
      </c>
      <c r="H59" s="61" t="s">
        <v>37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s="11" customFormat="1">
      <c r="A60" s="39"/>
      <c r="B60" s="14" t="s">
        <v>38</v>
      </c>
      <c r="C60" s="64" t="s">
        <v>60</v>
      </c>
      <c r="D60" s="14" t="s">
        <v>60</v>
      </c>
      <c r="E60" s="31" t="s">
        <v>60</v>
      </c>
      <c r="F60" s="31" t="s">
        <v>60</v>
      </c>
      <c r="G60" s="14" t="s">
        <v>40</v>
      </c>
      <c r="H60" s="62" t="s">
        <v>41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>
      <c r="A61" s="38"/>
      <c r="B61" s="60">
        <v>200</v>
      </c>
      <c r="C61" s="74">
        <f>+VAYear6</f>
        <v>1978.7268678208782</v>
      </c>
      <c r="D61" s="26">
        <f>+F11</f>
        <v>452.62901795770324</v>
      </c>
      <c r="E61" s="26">
        <f>+B61*42*LaborPicking</f>
        <v>316.83058974358977</v>
      </c>
      <c r="F61" s="26">
        <f>SUM(C61:E61)</f>
        <v>2748.1864755221713</v>
      </c>
      <c r="G61" s="32">
        <f>+F61/B61</f>
        <v>13.740932377610857</v>
      </c>
      <c r="H61" s="52">
        <f>+G61/42</f>
        <v>0.32716505660978229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>
      <c r="A62" s="48"/>
      <c r="B62" s="27">
        <f>+B61+100</f>
        <v>300</v>
      </c>
      <c r="C62" s="74">
        <f t="shared" ref="C62:C74" si="14">+VAYear6</f>
        <v>1978.7268678208782</v>
      </c>
      <c r="D62" s="26">
        <f>+D61</f>
        <v>452.62901795770324</v>
      </c>
      <c r="E62" s="26">
        <f t="shared" ref="E62:E74" si="15">+B62*42*LaborPicking</f>
        <v>475.24588461538463</v>
      </c>
      <c r="F62" s="26">
        <f>SUM(C62:E62)</f>
        <v>2906.601770393966</v>
      </c>
      <c r="G62" s="32">
        <f>+F62/B62</f>
        <v>9.6886725679798875</v>
      </c>
      <c r="H62" s="52">
        <f>+G62/42</f>
        <v>0.23068268018999732</v>
      </c>
    </row>
    <row r="63" spans="1:25">
      <c r="A63" s="48"/>
      <c r="B63" s="27">
        <f t="shared" ref="B63:B71" si="16">+B62+100</f>
        <v>400</v>
      </c>
      <c r="C63" s="74">
        <f t="shared" si="14"/>
        <v>1978.7268678208782</v>
      </c>
      <c r="D63" s="26">
        <f t="shared" ref="D63:D71" si="17">+D62</f>
        <v>452.62901795770324</v>
      </c>
      <c r="E63" s="26">
        <f t="shared" si="15"/>
        <v>633.66117948717954</v>
      </c>
      <c r="F63" s="26">
        <f t="shared" ref="F63:F71" si="18">SUM(C63:E63)</f>
        <v>3065.0170652657612</v>
      </c>
      <c r="G63" s="32">
        <f t="shared" ref="G63:G71" si="19">+F63/B63</f>
        <v>7.6625426631644027</v>
      </c>
      <c r="H63" s="52">
        <f t="shared" ref="H63:H74" si="20">+G63/42</f>
        <v>0.18244149198010481</v>
      </c>
    </row>
    <row r="64" spans="1:25">
      <c r="A64" s="48"/>
      <c r="B64" s="27">
        <f t="shared" si="16"/>
        <v>500</v>
      </c>
      <c r="C64" s="74">
        <f t="shared" si="14"/>
        <v>1978.7268678208782</v>
      </c>
      <c r="D64" s="26">
        <f t="shared" si="17"/>
        <v>452.62901795770324</v>
      </c>
      <c r="E64" s="26">
        <f t="shared" si="15"/>
        <v>792.07647435897445</v>
      </c>
      <c r="F64" s="26">
        <f t="shared" si="18"/>
        <v>3223.4323601375559</v>
      </c>
      <c r="G64" s="32">
        <f t="shared" si="19"/>
        <v>6.4468647202751121</v>
      </c>
      <c r="H64" s="52">
        <f t="shared" si="20"/>
        <v>0.15349677905416934</v>
      </c>
    </row>
    <row r="65" spans="1:8">
      <c r="A65" s="48"/>
      <c r="B65" s="27">
        <f t="shared" si="16"/>
        <v>600</v>
      </c>
      <c r="C65" s="74">
        <f t="shared" si="14"/>
        <v>1978.7268678208782</v>
      </c>
      <c r="D65" s="26">
        <f t="shared" si="17"/>
        <v>452.62901795770324</v>
      </c>
      <c r="E65" s="26">
        <f t="shared" si="15"/>
        <v>950.49176923076925</v>
      </c>
      <c r="F65" s="26">
        <f t="shared" si="18"/>
        <v>3381.847655009351</v>
      </c>
      <c r="G65" s="32">
        <f t="shared" si="19"/>
        <v>5.6364127583489188</v>
      </c>
      <c r="H65" s="52">
        <f t="shared" si="20"/>
        <v>0.13420030377021236</v>
      </c>
    </row>
    <row r="66" spans="1:8">
      <c r="A66" s="48"/>
      <c r="B66" s="27">
        <f t="shared" si="16"/>
        <v>700</v>
      </c>
      <c r="C66" s="74">
        <f t="shared" si="14"/>
        <v>1978.7268678208782</v>
      </c>
      <c r="D66" s="26">
        <f t="shared" si="17"/>
        <v>452.62901795770324</v>
      </c>
      <c r="E66" s="26">
        <f t="shared" si="15"/>
        <v>1108.9070641025642</v>
      </c>
      <c r="F66" s="26">
        <f t="shared" si="18"/>
        <v>3540.2629498811457</v>
      </c>
      <c r="G66" s="32">
        <f t="shared" si="19"/>
        <v>5.0575184998302083</v>
      </c>
      <c r="H66" s="52">
        <f t="shared" si="20"/>
        <v>0.12041710713881448</v>
      </c>
    </row>
    <row r="67" spans="1:8">
      <c r="A67" s="48"/>
      <c r="B67" s="27">
        <f t="shared" si="16"/>
        <v>800</v>
      </c>
      <c r="C67" s="74">
        <f t="shared" si="14"/>
        <v>1978.7268678208782</v>
      </c>
      <c r="D67" s="26">
        <f t="shared" si="17"/>
        <v>452.62901795770324</v>
      </c>
      <c r="E67" s="26">
        <f t="shared" si="15"/>
        <v>1267.3223589743591</v>
      </c>
      <c r="F67" s="26">
        <f t="shared" si="18"/>
        <v>3698.6782447529404</v>
      </c>
      <c r="G67" s="32">
        <f t="shared" si="19"/>
        <v>4.6233478059411759</v>
      </c>
      <c r="H67" s="52">
        <f t="shared" si="20"/>
        <v>0.11007970966526609</v>
      </c>
    </row>
    <row r="68" spans="1:8">
      <c r="A68" s="48"/>
      <c r="B68" s="27">
        <f t="shared" si="16"/>
        <v>900</v>
      </c>
      <c r="C68" s="74">
        <f t="shared" si="14"/>
        <v>1978.7268678208782</v>
      </c>
      <c r="D68" s="26">
        <f t="shared" si="17"/>
        <v>452.62901795770324</v>
      </c>
      <c r="E68" s="26">
        <f t="shared" si="15"/>
        <v>1425.737653846154</v>
      </c>
      <c r="F68" s="26">
        <f t="shared" si="18"/>
        <v>3857.0935396247355</v>
      </c>
      <c r="G68" s="32">
        <f t="shared" si="19"/>
        <v>4.2856594884719286</v>
      </c>
      <c r="H68" s="52">
        <f t="shared" si="20"/>
        <v>0.10203951163028402</v>
      </c>
    </row>
    <row r="69" spans="1:8">
      <c r="A69" s="48"/>
      <c r="B69" s="27">
        <f t="shared" si="16"/>
        <v>1000</v>
      </c>
      <c r="C69" s="74">
        <f t="shared" si="14"/>
        <v>1978.7268678208782</v>
      </c>
      <c r="D69" s="26">
        <f t="shared" si="17"/>
        <v>452.62901795770324</v>
      </c>
      <c r="E69" s="26">
        <f t="shared" si="15"/>
        <v>1584.1529487179489</v>
      </c>
      <c r="F69" s="26">
        <f t="shared" si="18"/>
        <v>4015.5088344965307</v>
      </c>
      <c r="G69" s="32">
        <f t="shared" si="19"/>
        <v>4.0155088344965311</v>
      </c>
      <c r="H69" s="52">
        <f t="shared" si="20"/>
        <v>9.5607353202298365E-2</v>
      </c>
    </row>
    <row r="70" spans="1:8">
      <c r="A70" s="48"/>
      <c r="B70" s="27">
        <f t="shared" si="16"/>
        <v>1100</v>
      </c>
      <c r="C70" s="74">
        <f t="shared" si="14"/>
        <v>1978.7268678208782</v>
      </c>
      <c r="D70" s="26">
        <f t="shared" si="17"/>
        <v>452.62901795770324</v>
      </c>
      <c r="E70" s="26">
        <f t="shared" si="15"/>
        <v>1742.5682435897436</v>
      </c>
      <c r="F70" s="26">
        <f t="shared" si="18"/>
        <v>4173.9241293683253</v>
      </c>
      <c r="G70" s="32">
        <f t="shared" si="19"/>
        <v>3.7944764812439322</v>
      </c>
      <c r="H70" s="52">
        <f t="shared" si="20"/>
        <v>9.0344678124855526E-2</v>
      </c>
    </row>
    <row r="71" spans="1:8">
      <c r="A71" s="48"/>
      <c r="B71" s="27">
        <f t="shared" si="16"/>
        <v>1200</v>
      </c>
      <c r="C71" s="74">
        <f t="shared" si="14"/>
        <v>1978.7268678208782</v>
      </c>
      <c r="D71" s="26">
        <f t="shared" si="17"/>
        <v>452.62901795770324</v>
      </c>
      <c r="E71" s="26">
        <f t="shared" si="15"/>
        <v>1900.9835384615385</v>
      </c>
      <c r="F71" s="26">
        <f t="shared" si="18"/>
        <v>4332.33942424012</v>
      </c>
      <c r="G71" s="32">
        <f t="shared" si="19"/>
        <v>3.6102828535334335</v>
      </c>
      <c r="H71" s="52">
        <f t="shared" si="20"/>
        <v>8.5959115560319849E-2</v>
      </c>
    </row>
    <row r="72" spans="1:8">
      <c r="A72" s="48"/>
      <c r="B72" s="27">
        <f>+B71+100</f>
        <v>1300</v>
      </c>
      <c r="C72" s="74">
        <f t="shared" si="14"/>
        <v>1978.7268678208782</v>
      </c>
      <c r="D72" s="26">
        <f>+D71</f>
        <v>452.62901795770324</v>
      </c>
      <c r="E72" s="26">
        <f t="shared" si="15"/>
        <v>2059.3988333333336</v>
      </c>
      <c r="F72" s="26">
        <f>SUM(C72:E72)</f>
        <v>4490.7547191119156</v>
      </c>
      <c r="G72" s="32">
        <f>+F72/B72</f>
        <v>3.4544267070091657</v>
      </c>
      <c r="H72" s="52">
        <f t="shared" si="20"/>
        <v>8.2248254928789663E-2</v>
      </c>
    </row>
    <row r="73" spans="1:8">
      <c r="A73" s="48"/>
      <c r="B73" s="27">
        <f>+B72+100</f>
        <v>1400</v>
      </c>
      <c r="C73" s="74">
        <f t="shared" si="14"/>
        <v>1978.7268678208782</v>
      </c>
      <c r="D73" s="26">
        <f>+D72</f>
        <v>452.62901795770324</v>
      </c>
      <c r="E73" s="26">
        <f t="shared" si="15"/>
        <v>2217.8141282051283</v>
      </c>
      <c r="F73" s="26">
        <f>SUM(C73:E73)</f>
        <v>4649.1700139837103</v>
      </c>
      <c r="G73" s="32">
        <f>+F73/B73</f>
        <v>3.3208357242740787</v>
      </c>
      <c r="H73" s="52">
        <f t="shared" si="20"/>
        <v>7.9067517244620925E-2</v>
      </c>
    </row>
    <row r="74" spans="1:8">
      <c r="A74" s="39"/>
      <c r="B74" s="14">
        <f>+B73+100</f>
        <v>1500</v>
      </c>
      <c r="C74" s="76">
        <f t="shared" si="14"/>
        <v>1978.7268678208782</v>
      </c>
      <c r="D74" s="25">
        <f>+D73</f>
        <v>452.62901795770324</v>
      </c>
      <c r="E74" s="25">
        <f t="shared" si="15"/>
        <v>2376.229423076923</v>
      </c>
      <c r="F74" s="25">
        <f>SUM(C74:E74)</f>
        <v>4807.585308855505</v>
      </c>
      <c r="G74" s="15">
        <f>+F74/B74</f>
        <v>3.2050568725703368</v>
      </c>
      <c r="H74" s="54">
        <f t="shared" si="20"/>
        <v>7.6310877918341347E-2</v>
      </c>
    </row>
  </sheetData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5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74"/>
  <sheetViews>
    <sheetView topLeftCell="A10" workbookViewId="0">
      <selection activeCell="B3" sqref="B3"/>
    </sheetView>
  </sheetViews>
  <sheetFormatPr defaultRowHeight="12.75"/>
  <cols>
    <col min="4" max="5" width="9.140625" style="24"/>
    <col min="6" max="6" width="5.42578125" customWidth="1"/>
    <col min="9" max="11" width="9" customWidth="1"/>
  </cols>
  <sheetData>
    <row r="1" spans="1:9" ht="20.25">
      <c r="A1" s="47" t="s">
        <v>358</v>
      </c>
      <c r="B1" s="40"/>
      <c r="C1" s="40"/>
      <c r="D1" s="72"/>
      <c r="E1" s="72"/>
      <c r="F1" s="40"/>
      <c r="G1" s="40"/>
      <c r="H1" s="40"/>
      <c r="I1" s="55"/>
    </row>
    <row r="2" spans="1:9" s="10" customFormat="1" ht="11.25">
      <c r="A2" s="85"/>
      <c r="B2" s="86"/>
      <c r="C2" s="86"/>
      <c r="D2" s="87"/>
      <c r="E2" s="87"/>
      <c r="F2" s="86"/>
      <c r="G2" s="86"/>
      <c r="H2" s="86"/>
      <c r="I2" s="88"/>
    </row>
    <row r="3" spans="1:9" s="1" customFormat="1">
      <c r="A3" s="44"/>
      <c r="B3" s="60" t="s">
        <v>54</v>
      </c>
      <c r="C3" s="60" t="s">
        <v>55</v>
      </c>
      <c r="D3" s="89" t="s">
        <v>56</v>
      </c>
      <c r="E3" s="89" t="s">
        <v>57</v>
      </c>
      <c r="F3" s="60"/>
      <c r="G3" s="60" t="s">
        <v>49</v>
      </c>
      <c r="H3" s="60" t="s">
        <v>56</v>
      </c>
      <c r="I3" s="61" t="s">
        <v>58</v>
      </c>
    </row>
    <row r="4" spans="1:9" s="27" customFormat="1">
      <c r="A4" s="45" t="s">
        <v>30</v>
      </c>
      <c r="B4" s="14" t="s">
        <v>36</v>
      </c>
      <c r="C4" s="14" t="s">
        <v>59</v>
      </c>
      <c r="D4" s="31" t="s">
        <v>60</v>
      </c>
      <c r="E4" s="31" t="s">
        <v>60</v>
      </c>
      <c r="F4" s="14" t="s">
        <v>61</v>
      </c>
      <c r="G4" s="14" t="s">
        <v>37</v>
      </c>
      <c r="H4" s="14" t="s">
        <v>62</v>
      </c>
      <c r="I4" s="62" t="s">
        <v>62</v>
      </c>
    </row>
    <row r="5" spans="1:9">
      <c r="A5" s="65">
        <v>0</v>
      </c>
      <c r="B5" s="63">
        <f>+'Factors &amp; Yield'!E36</f>
        <v>0</v>
      </c>
      <c r="C5" s="40">
        <f>+B5*42*Price</f>
        <v>0</v>
      </c>
      <c r="D5" s="72">
        <f>+Year0</f>
        <v>794</v>
      </c>
      <c r="E5" s="72">
        <f>+B5*42*LaborPicking</f>
        <v>0</v>
      </c>
      <c r="F5" s="72">
        <f>+(+D5+E5)*0.5*IntOper+LandCost*IntLand</f>
        <v>383.82</v>
      </c>
      <c r="G5" s="72">
        <f>SUM(D5:F5)</f>
        <v>1177.82</v>
      </c>
      <c r="H5" s="72">
        <f>+C5-G5</f>
        <v>-1177.82</v>
      </c>
      <c r="I5" s="73">
        <f>+H5</f>
        <v>-1177.82</v>
      </c>
    </row>
    <row r="6" spans="1:9">
      <c r="A6" s="65">
        <f>+A5+1</f>
        <v>1</v>
      </c>
      <c r="B6" s="41">
        <f>+'Factors &amp; Yield'!E37</f>
        <v>0</v>
      </c>
      <c r="C6" s="16">
        <f>+B6*42*Price</f>
        <v>0</v>
      </c>
      <c r="D6" s="26">
        <f>+SSYear1</f>
        <v>15071.316037954455</v>
      </c>
      <c r="E6" s="26">
        <f t="shared" ref="E6:E25" si="0">+B6*42*LaborPicking</f>
        <v>0</v>
      </c>
      <c r="F6" s="26">
        <f t="shared" ref="F6:F25" si="1">+(+D6+E6)*0.5*IntOper+LandCost*IntLand</f>
        <v>812.13948113863364</v>
      </c>
      <c r="G6" s="26">
        <f t="shared" ref="G6:G25" si="2">SUM(D6:F6)</f>
        <v>15883.45551909309</v>
      </c>
      <c r="H6" s="26">
        <f>+C6-G6</f>
        <v>-15883.45551909309</v>
      </c>
      <c r="I6" s="75">
        <f t="shared" ref="I6:I25" si="3">+H6+I5</f>
        <v>-17061.275519093091</v>
      </c>
    </row>
    <row r="7" spans="1:9">
      <c r="A7" s="65">
        <f>+A6+1</f>
        <v>2</v>
      </c>
      <c r="B7" s="41">
        <f>+'Factors &amp; Yield'!E38</f>
        <v>50</v>
      </c>
      <c r="C7" s="16">
        <f>B7*42*$D$29</f>
        <v>1743</v>
      </c>
      <c r="D7" s="26">
        <f>+TSYear2</f>
        <v>1552.5059585025679</v>
      </c>
      <c r="E7" s="26">
        <f t="shared" si="0"/>
        <v>79.207647435897442</v>
      </c>
      <c r="F7" s="26">
        <f t="shared" si="1"/>
        <v>408.95140817815394</v>
      </c>
      <c r="G7" s="26">
        <f t="shared" si="2"/>
        <v>2040.6650141166192</v>
      </c>
      <c r="H7" s="26">
        <f t="shared" ref="H7:H25" si="4">+C7-G7</f>
        <v>-297.6650141166192</v>
      </c>
      <c r="I7" s="75">
        <f t="shared" si="3"/>
        <v>-17358.940533209709</v>
      </c>
    </row>
    <row r="8" spans="1:9">
      <c r="A8" s="65">
        <f t="shared" ref="A8:A25" si="5">+A7+1</f>
        <v>3</v>
      </c>
      <c r="B8" s="41">
        <f>+'Factors &amp; Yield'!E39</f>
        <v>200</v>
      </c>
      <c r="C8" s="16">
        <f t="shared" ref="C8:C25" si="6">B8*42*$D$29</f>
        <v>6972</v>
      </c>
      <c r="D8" s="26">
        <f>+SSYear3</f>
        <v>1787.8792583289564</v>
      </c>
      <c r="E8" s="26">
        <f t="shared" si="0"/>
        <v>316.83058974358977</v>
      </c>
      <c r="F8" s="26">
        <f t="shared" si="1"/>
        <v>423.14129544217639</v>
      </c>
      <c r="G8" s="26">
        <f t="shared" si="2"/>
        <v>2527.8511435147225</v>
      </c>
      <c r="H8" s="26">
        <f t="shared" si="4"/>
        <v>4444.1488564852771</v>
      </c>
      <c r="I8" s="75">
        <f t="shared" si="3"/>
        <v>-12914.791676724431</v>
      </c>
    </row>
    <row r="9" spans="1:9">
      <c r="A9" s="65">
        <f t="shared" si="5"/>
        <v>4</v>
      </c>
      <c r="B9" s="41">
        <f>+'Factors &amp; Yield'!E40</f>
        <v>500</v>
      </c>
      <c r="C9" s="16">
        <f t="shared" si="6"/>
        <v>17430</v>
      </c>
      <c r="D9" s="26">
        <f>+SSYear4</f>
        <v>1838.8745708289564</v>
      </c>
      <c r="E9" s="26">
        <f t="shared" si="0"/>
        <v>792.07647435897445</v>
      </c>
      <c r="F9" s="26">
        <f t="shared" si="1"/>
        <v>438.92853135563792</v>
      </c>
      <c r="G9" s="26">
        <f t="shared" si="2"/>
        <v>3069.8795765435689</v>
      </c>
      <c r="H9" s="26">
        <f t="shared" si="4"/>
        <v>14360.120423456432</v>
      </c>
      <c r="I9" s="75">
        <f t="shared" si="3"/>
        <v>1445.3287467320006</v>
      </c>
    </row>
    <row r="10" spans="1:9">
      <c r="A10" s="65">
        <f t="shared" si="5"/>
        <v>5</v>
      </c>
      <c r="B10" s="41">
        <f>+'Factors &amp; Yield'!E41</f>
        <v>1000</v>
      </c>
      <c r="C10" s="16">
        <f t="shared" si="6"/>
        <v>34860</v>
      </c>
      <c r="D10" s="26">
        <f t="shared" ref="D10:D25" si="7">+SSYear4</f>
        <v>1838.8745708289564</v>
      </c>
      <c r="E10" s="26">
        <f t="shared" si="0"/>
        <v>1584.1529487179489</v>
      </c>
      <c r="F10" s="26">
        <f t="shared" si="1"/>
        <v>462.69082558640719</v>
      </c>
      <c r="G10" s="26">
        <f t="shared" si="2"/>
        <v>3885.7183451333126</v>
      </c>
      <c r="H10" s="26">
        <f t="shared" si="4"/>
        <v>30974.281654866689</v>
      </c>
      <c r="I10" s="75">
        <f t="shared" si="3"/>
        <v>32419.610401598689</v>
      </c>
    </row>
    <row r="11" spans="1:9">
      <c r="A11" s="65">
        <f t="shared" si="5"/>
        <v>6</v>
      </c>
      <c r="B11" s="41">
        <f>+'Factors &amp; Yield'!E42</f>
        <v>1000</v>
      </c>
      <c r="C11" s="16">
        <f t="shared" si="6"/>
        <v>34860</v>
      </c>
      <c r="D11" s="26">
        <f t="shared" si="7"/>
        <v>1838.8745708289564</v>
      </c>
      <c r="E11" s="26">
        <f t="shared" si="0"/>
        <v>1584.1529487179489</v>
      </c>
      <c r="F11" s="26">
        <f t="shared" si="1"/>
        <v>462.69082558640719</v>
      </c>
      <c r="G11" s="26">
        <f t="shared" si="2"/>
        <v>3885.7183451333126</v>
      </c>
      <c r="H11" s="26">
        <f t="shared" si="4"/>
        <v>30974.281654866689</v>
      </c>
      <c r="I11" s="75">
        <f t="shared" si="3"/>
        <v>63393.892056465382</v>
      </c>
    </row>
    <row r="12" spans="1:9">
      <c r="A12" s="65">
        <f t="shared" si="5"/>
        <v>7</v>
      </c>
      <c r="B12" s="41">
        <f>+'Factors &amp; Yield'!E43</f>
        <v>1000</v>
      </c>
      <c r="C12" s="16">
        <f t="shared" si="6"/>
        <v>34860</v>
      </c>
      <c r="D12" s="26">
        <f t="shared" si="7"/>
        <v>1838.8745708289564</v>
      </c>
      <c r="E12" s="26">
        <f t="shared" si="0"/>
        <v>1584.1529487179489</v>
      </c>
      <c r="F12" s="26">
        <f t="shared" si="1"/>
        <v>462.69082558640719</v>
      </c>
      <c r="G12" s="26">
        <f t="shared" si="2"/>
        <v>3885.7183451333126</v>
      </c>
      <c r="H12" s="26">
        <f t="shared" si="4"/>
        <v>30974.281654866689</v>
      </c>
      <c r="I12" s="75">
        <f t="shared" si="3"/>
        <v>94368.173711332071</v>
      </c>
    </row>
    <row r="13" spans="1:9">
      <c r="A13" s="65">
        <f t="shared" si="5"/>
        <v>8</v>
      </c>
      <c r="B13" s="41">
        <f>+'Factors &amp; Yield'!E44</f>
        <v>1000</v>
      </c>
      <c r="C13" s="16">
        <f t="shared" si="6"/>
        <v>34860</v>
      </c>
      <c r="D13" s="26">
        <f t="shared" si="7"/>
        <v>1838.8745708289564</v>
      </c>
      <c r="E13" s="26">
        <f t="shared" si="0"/>
        <v>1584.1529487179489</v>
      </c>
      <c r="F13" s="26">
        <f t="shared" si="1"/>
        <v>462.69082558640719</v>
      </c>
      <c r="G13" s="26">
        <f t="shared" si="2"/>
        <v>3885.7183451333126</v>
      </c>
      <c r="H13" s="26">
        <f t="shared" si="4"/>
        <v>30974.281654866689</v>
      </c>
      <c r="I13" s="75">
        <f t="shared" si="3"/>
        <v>125342.45536619876</v>
      </c>
    </row>
    <row r="14" spans="1:9">
      <c r="A14" s="65">
        <f t="shared" si="5"/>
        <v>9</v>
      </c>
      <c r="B14" s="41">
        <f>+'Factors &amp; Yield'!E45</f>
        <v>1000</v>
      </c>
      <c r="C14" s="16">
        <f t="shared" si="6"/>
        <v>34860</v>
      </c>
      <c r="D14" s="26">
        <f t="shared" si="7"/>
        <v>1838.8745708289564</v>
      </c>
      <c r="E14" s="26">
        <f t="shared" si="0"/>
        <v>1584.1529487179489</v>
      </c>
      <c r="F14" s="26">
        <f t="shared" si="1"/>
        <v>462.69082558640719</v>
      </c>
      <c r="G14" s="26">
        <f t="shared" si="2"/>
        <v>3885.7183451333126</v>
      </c>
      <c r="H14" s="26">
        <f t="shared" si="4"/>
        <v>30974.281654866689</v>
      </c>
      <c r="I14" s="75">
        <f t="shared" si="3"/>
        <v>156316.73702106543</v>
      </c>
    </row>
    <row r="15" spans="1:9">
      <c r="A15" s="65">
        <f t="shared" si="5"/>
        <v>10</v>
      </c>
      <c r="B15" s="41">
        <f>+'Factors &amp; Yield'!E46</f>
        <v>1000</v>
      </c>
      <c r="C15" s="16">
        <f t="shared" si="6"/>
        <v>34860</v>
      </c>
      <c r="D15" s="26">
        <f t="shared" si="7"/>
        <v>1838.8745708289564</v>
      </c>
      <c r="E15" s="26">
        <f t="shared" si="0"/>
        <v>1584.1529487179489</v>
      </c>
      <c r="F15" s="26">
        <f t="shared" si="1"/>
        <v>462.69082558640719</v>
      </c>
      <c r="G15" s="26">
        <f t="shared" si="2"/>
        <v>3885.7183451333126</v>
      </c>
      <c r="H15" s="26">
        <f t="shared" si="4"/>
        <v>30974.281654866689</v>
      </c>
      <c r="I15" s="75">
        <f t="shared" si="3"/>
        <v>187291.01867593214</v>
      </c>
    </row>
    <row r="16" spans="1:9">
      <c r="A16" s="65">
        <f t="shared" si="5"/>
        <v>11</v>
      </c>
      <c r="B16" s="41">
        <f>+'Factors &amp; Yield'!E47</f>
        <v>1000</v>
      </c>
      <c r="C16" s="16">
        <f t="shared" si="6"/>
        <v>34860</v>
      </c>
      <c r="D16" s="26">
        <f t="shared" si="7"/>
        <v>1838.8745708289564</v>
      </c>
      <c r="E16" s="26">
        <f t="shared" si="0"/>
        <v>1584.1529487179489</v>
      </c>
      <c r="F16" s="26">
        <f t="shared" si="1"/>
        <v>462.69082558640719</v>
      </c>
      <c r="G16" s="26">
        <f t="shared" si="2"/>
        <v>3885.7183451333126</v>
      </c>
      <c r="H16" s="26">
        <f t="shared" si="4"/>
        <v>30974.281654866689</v>
      </c>
      <c r="I16" s="75">
        <f t="shared" si="3"/>
        <v>218265.30033079884</v>
      </c>
    </row>
    <row r="17" spans="1:10">
      <c r="A17" s="65">
        <f t="shared" si="5"/>
        <v>12</v>
      </c>
      <c r="B17" s="41">
        <f>+'Factors &amp; Yield'!E48</f>
        <v>1000</v>
      </c>
      <c r="C17" s="16">
        <f t="shared" si="6"/>
        <v>34860</v>
      </c>
      <c r="D17" s="26">
        <f t="shared" si="7"/>
        <v>1838.8745708289564</v>
      </c>
      <c r="E17" s="26">
        <f t="shared" si="0"/>
        <v>1584.1529487179489</v>
      </c>
      <c r="F17" s="26">
        <f t="shared" si="1"/>
        <v>462.69082558640719</v>
      </c>
      <c r="G17" s="26">
        <f t="shared" si="2"/>
        <v>3885.7183451333126</v>
      </c>
      <c r="H17" s="26">
        <f t="shared" si="4"/>
        <v>30974.281654866689</v>
      </c>
      <c r="I17" s="75">
        <f t="shared" si="3"/>
        <v>249239.58198566554</v>
      </c>
    </row>
    <row r="18" spans="1:10">
      <c r="A18" s="65">
        <f t="shared" si="5"/>
        <v>13</v>
      </c>
      <c r="B18" s="41">
        <f>+'Factors &amp; Yield'!E49</f>
        <v>1000</v>
      </c>
      <c r="C18" s="16">
        <f t="shared" si="6"/>
        <v>34860</v>
      </c>
      <c r="D18" s="26">
        <f t="shared" si="7"/>
        <v>1838.8745708289564</v>
      </c>
      <c r="E18" s="26">
        <f t="shared" si="0"/>
        <v>1584.1529487179489</v>
      </c>
      <c r="F18" s="26">
        <f t="shared" si="1"/>
        <v>462.69082558640719</v>
      </c>
      <c r="G18" s="26">
        <f t="shared" si="2"/>
        <v>3885.7183451333126</v>
      </c>
      <c r="H18" s="26">
        <f t="shared" si="4"/>
        <v>30974.281654866689</v>
      </c>
      <c r="I18" s="75">
        <f t="shared" si="3"/>
        <v>280213.86364053225</v>
      </c>
    </row>
    <row r="19" spans="1:10">
      <c r="A19" s="65">
        <f t="shared" si="5"/>
        <v>14</v>
      </c>
      <c r="B19" s="41">
        <f>+'Factors &amp; Yield'!E50</f>
        <v>1000</v>
      </c>
      <c r="C19" s="16">
        <f t="shared" si="6"/>
        <v>34860</v>
      </c>
      <c r="D19" s="26">
        <f t="shared" si="7"/>
        <v>1838.8745708289564</v>
      </c>
      <c r="E19" s="26">
        <f t="shared" si="0"/>
        <v>1584.1529487179489</v>
      </c>
      <c r="F19" s="26">
        <f t="shared" si="1"/>
        <v>462.69082558640719</v>
      </c>
      <c r="G19" s="26">
        <f t="shared" si="2"/>
        <v>3885.7183451333126</v>
      </c>
      <c r="H19" s="26">
        <f t="shared" si="4"/>
        <v>30974.281654866689</v>
      </c>
      <c r="I19" s="75">
        <f t="shared" si="3"/>
        <v>311188.14529539895</v>
      </c>
    </row>
    <row r="20" spans="1:10">
      <c r="A20" s="65">
        <f t="shared" si="5"/>
        <v>15</v>
      </c>
      <c r="B20" s="41">
        <f>+'Factors &amp; Yield'!E51</f>
        <v>1000</v>
      </c>
      <c r="C20" s="16">
        <f t="shared" si="6"/>
        <v>34860</v>
      </c>
      <c r="D20" s="26">
        <f t="shared" si="7"/>
        <v>1838.8745708289564</v>
      </c>
      <c r="E20" s="26">
        <f t="shared" si="0"/>
        <v>1584.1529487179489</v>
      </c>
      <c r="F20" s="26">
        <f t="shared" si="1"/>
        <v>462.69082558640719</v>
      </c>
      <c r="G20" s="26">
        <f t="shared" si="2"/>
        <v>3885.7183451333126</v>
      </c>
      <c r="H20" s="26">
        <f t="shared" si="4"/>
        <v>30974.281654866689</v>
      </c>
      <c r="I20" s="75">
        <f t="shared" si="3"/>
        <v>342162.42695026565</v>
      </c>
    </row>
    <row r="21" spans="1:10">
      <c r="A21" s="65">
        <f t="shared" si="5"/>
        <v>16</v>
      </c>
      <c r="B21" s="41">
        <f>+'Factors &amp; Yield'!E52</f>
        <v>1000</v>
      </c>
      <c r="C21" s="16">
        <f t="shared" si="6"/>
        <v>34860</v>
      </c>
      <c r="D21" s="26">
        <f t="shared" si="7"/>
        <v>1838.8745708289564</v>
      </c>
      <c r="E21" s="26">
        <f t="shared" si="0"/>
        <v>1584.1529487179489</v>
      </c>
      <c r="F21" s="26">
        <f t="shared" si="1"/>
        <v>462.69082558640719</v>
      </c>
      <c r="G21" s="26">
        <f t="shared" si="2"/>
        <v>3885.7183451333126</v>
      </c>
      <c r="H21" s="26">
        <f t="shared" si="4"/>
        <v>30974.281654866689</v>
      </c>
      <c r="I21" s="75">
        <f t="shared" si="3"/>
        <v>373136.70860513236</v>
      </c>
    </row>
    <row r="22" spans="1:10">
      <c r="A22" s="65">
        <f t="shared" si="5"/>
        <v>17</v>
      </c>
      <c r="B22" s="41">
        <f>+'Factors &amp; Yield'!E53</f>
        <v>1000</v>
      </c>
      <c r="C22" s="16">
        <f t="shared" si="6"/>
        <v>34860</v>
      </c>
      <c r="D22" s="26">
        <f t="shared" si="7"/>
        <v>1838.8745708289564</v>
      </c>
      <c r="E22" s="26">
        <f t="shared" si="0"/>
        <v>1584.1529487179489</v>
      </c>
      <c r="F22" s="26">
        <f t="shared" si="1"/>
        <v>462.69082558640719</v>
      </c>
      <c r="G22" s="26">
        <f t="shared" si="2"/>
        <v>3885.7183451333126</v>
      </c>
      <c r="H22" s="26">
        <f t="shared" si="4"/>
        <v>30974.281654866689</v>
      </c>
      <c r="I22" s="75">
        <f t="shared" si="3"/>
        <v>404110.99025999906</v>
      </c>
    </row>
    <row r="23" spans="1:10">
      <c r="A23" s="65">
        <f t="shared" si="5"/>
        <v>18</v>
      </c>
      <c r="B23" s="41">
        <f>+'Factors &amp; Yield'!E54</f>
        <v>1000</v>
      </c>
      <c r="C23" s="16">
        <f t="shared" si="6"/>
        <v>34860</v>
      </c>
      <c r="D23" s="26">
        <f t="shared" si="7"/>
        <v>1838.8745708289564</v>
      </c>
      <c r="E23" s="26">
        <f t="shared" si="0"/>
        <v>1584.1529487179489</v>
      </c>
      <c r="F23" s="26">
        <f t="shared" si="1"/>
        <v>462.69082558640719</v>
      </c>
      <c r="G23" s="26">
        <f t="shared" si="2"/>
        <v>3885.7183451333126</v>
      </c>
      <c r="H23" s="26">
        <f t="shared" si="4"/>
        <v>30974.281654866689</v>
      </c>
      <c r="I23" s="75">
        <f t="shared" si="3"/>
        <v>435085.27191486576</v>
      </c>
    </row>
    <row r="24" spans="1:10">
      <c r="A24" s="65">
        <f t="shared" si="5"/>
        <v>19</v>
      </c>
      <c r="B24" s="41">
        <f>+'Factors &amp; Yield'!E55</f>
        <v>1000</v>
      </c>
      <c r="C24" s="16">
        <f t="shared" si="6"/>
        <v>34860</v>
      </c>
      <c r="D24" s="26">
        <f t="shared" si="7"/>
        <v>1838.8745708289564</v>
      </c>
      <c r="E24" s="26">
        <f t="shared" si="0"/>
        <v>1584.1529487179489</v>
      </c>
      <c r="F24" s="26">
        <f t="shared" si="1"/>
        <v>462.69082558640719</v>
      </c>
      <c r="G24" s="26">
        <f t="shared" si="2"/>
        <v>3885.7183451333126</v>
      </c>
      <c r="H24" s="26">
        <f t="shared" si="4"/>
        <v>30974.281654866689</v>
      </c>
      <c r="I24" s="75">
        <f t="shared" si="3"/>
        <v>466059.55356973247</v>
      </c>
    </row>
    <row r="25" spans="1:10" s="16" customFormat="1">
      <c r="A25" s="45">
        <f t="shared" si="5"/>
        <v>20</v>
      </c>
      <c r="B25" s="64">
        <f>+'Factors &amp; Yield'!E56</f>
        <v>1000</v>
      </c>
      <c r="C25" s="16">
        <f t="shared" si="6"/>
        <v>34860</v>
      </c>
      <c r="D25" s="25">
        <f t="shared" si="7"/>
        <v>1838.8745708289564</v>
      </c>
      <c r="E25" s="25">
        <f t="shared" si="0"/>
        <v>1584.1529487179489</v>
      </c>
      <c r="F25" s="25">
        <f t="shared" si="1"/>
        <v>462.69082558640719</v>
      </c>
      <c r="G25" s="25">
        <f t="shared" si="2"/>
        <v>3885.7183451333126</v>
      </c>
      <c r="H25" s="25">
        <f t="shared" si="4"/>
        <v>30974.281654866689</v>
      </c>
      <c r="I25" s="77">
        <f t="shared" si="3"/>
        <v>497033.83522459917</v>
      </c>
    </row>
    <row r="26" spans="1:10">
      <c r="A26" s="38"/>
      <c r="B26" s="40"/>
      <c r="C26" s="40"/>
      <c r="D26" s="72"/>
      <c r="E26" s="72"/>
      <c r="F26" s="40"/>
      <c r="G26" s="40"/>
      <c r="H26" s="40"/>
      <c r="I26" s="55"/>
    </row>
    <row r="27" spans="1:10">
      <c r="A27" s="39"/>
      <c r="B27" s="31">
        <f>SUM(B5:B26)</f>
        <v>16750</v>
      </c>
      <c r="C27" s="25">
        <f t="shared" ref="C27:H27" si="8">SUM(C5:C26)</f>
        <v>583905</v>
      </c>
      <c r="D27" s="25">
        <f t="shared" si="8"/>
        <v>50466.568958878248</v>
      </c>
      <c r="E27" s="25">
        <f t="shared" si="8"/>
        <v>26534.561891025653</v>
      </c>
      <c r="F27" s="25">
        <f t="shared" si="8"/>
        <v>9870.0339254971186</v>
      </c>
      <c r="G27" s="25">
        <f t="shared" si="8"/>
        <v>86871.16477540099</v>
      </c>
      <c r="H27" s="25">
        <f t="shared" si="8"/>
        <v>497033.83522459917</v>
      </c>
      <c r="I27" s="77">
        <f>+I25</f>
        <v>497033.83522459917</v>
      </c>
    </row>
    <row r="29" spans="1:10" s="6" customFormat="1" ht="20.25">
      <c r="A29" s="6" t="s">
        <v>42</v>
      </c>
      <c r="D29" s="6">
        <v>0.83</v>
      </c>
      <c r="E29" s="97"/>
      <c r="F29" s="6" t="s">
        <v>43</v>
      </c>
      <c r="I29"/>
      <c r="J29" s="94">
        <f>+LaborNoSkill</f>
        <v>9</v>
      </c>
    </row>
    <row r="52" spans="1:24" ht="20.25">
      <c r="A52" s="47" t="str">
        <f>+A1</f>
        <v>Potential Profit for Tall Spindle</v>
      </c>
      <c r="B52" s="40"/>
      <c r="C52" s="40"/>
      <c r="D52" s="72"/>
      <c r="E52" s="72"/>
      <c r="F52" s="40"/>
      <c r="G52" s="40"/>
      <c r="H52" s="55"/>
    </row>
    <row r="53" spans="1:24">
      <c r="A53" s="39"/>
      <c r="B53" s="11"/>
      <c r="C53" s="11"/>
      <c r="D53" s="25"/>
      <c r="E53" s="25"/>
      <c r="F53" s="11"/>
      <c r="G53" s="11"/>
      <c r="H53" s="57"/>
    </row>
    <row r="54" spans="1:24">
      <c r="A54" s="43" t="s">
        <v>33</v>
      </c>
      <c r="B54" s="40"/>
      <c r="C54" s="40"/>
      <c r="D54" s="72"/>
      <c r="E54" s="72"/>
      <c r="F54" s="40"/>
      <c r="G54" s="40"/>
      <c r="H54" s="55"/>
    </row>
    <row r="55" spans="1:24">
      <c r="A55" s="48"/>
      <c r="B55" s="16"/>
      <c r="C55" s="16"/>
      <c r="D55" s="26"/>
      <c r="E55" s="26"/>
      <c r="F55" s="16"/>
      <c r="G55" s="16"/>
      <c r="H55" s="56"/>
    </row>
    <row r="56" spans="1:24">
      <c r="A56" s="48" t="s">
        <v>118</v>
      </c>
      <c r="B56" s="16"/>
      <c r="C56" s="16"/>
      <c r="D56" s="26"/>
      <c r="E56" s="26"/>
      <c r="F56" s="16"/>
      <c r="G56" s="16"/>
      <c r="H56" s="56"/>
    </row>
    <row r="57" spans="1:24">
      <c r="A57" s="48"/>
      <c r="B57" s="16"/>
      <c r="C57" s="16"/>
      <c r="D57" s="26"/>
      <c r="E57" s="26"/>
      <c r="F57" s="16"/>
      <c r="G57" s="16"/>
      <c r="H57" s="5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>
      <c r="A58" s="39"/>
      <c r="B58" s="11"/>
      <c r="C58" s="16"/>
      <c r="D58" s="26"/>
      <c r="E58" s="26"/>
      <c r="F58" s="16"/>
      <c r="G58" s="16"/>
      <c r="H58" s="5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>
      <c r="A59" s="38"/>
      <c r="B59" s="60" t="s">
        <v>36</v>
      </c>
      <c r="C59" s="63" t="s">
        <v>64</v>
      </c>
      <c r="D59" s="60" t="s">
        <v>61</v>
      </c>
      <c r="E59" s="89" t="s">
        <v>57</v>
      </c>
      <c r="F59" s="89" t="s">
        <v>49</v>
      </c>
      <c r="G59" s="60" t="s">
        <v>37</v>
      </c>
      <c r="H59" s="61" t="s">
        <v>37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1" customFormat="1">
      <c r="A60" s="39"/>
      <c r="B60" s="14" t="s">
        <v>38</v>
      </c>
      <c r="C60" s="64" t="s">
        <v>60</v>
      </c>
      <c r="D60" s="14" t="s">
        <v>60</v>
      </c>
      <c r="E60" s="31" t="s">
        <v>60</v>
      </c>
      <c r="F60" s="31" t="s">
        <v>60</v>
      </c>
      <c r="G60" s="14" t="s">
        <v>40</v>
      </c>
      <c r="H60" s="62" t="s">
        <v>41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>
      <c r="A61" s="38"/>
      <c r="B61" s="60">
        <v>200</v>
      </c>
      <c r="C61" s="71">
        <f>+SSYear4</f>
        <v>1838.8745708289564</v>
      </c>
      <c r="D61" s="72">
        <f>+F9</f>
        <v>438.92853135563792</v>
      </c>
      <c r="E61" s="72">
        <f>+B61*42*LaborPicking</f>
        <v>316.83058974358977</v>
      </c>
      <c r="F61" s="72">
        <f>SUM(C61:E61)</f>
        <v>2594.6336919281844</v>
      </c>
      <c r="G61" s="68">
        <f>+F61/B61</f>
        <v>12.973168459640922</v>
      </c>
      <c r="H61" s="67">
        <f>+G61/42</f>
        <v>0.30888496332478388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>
      <c r="A62" s="48"/>
      <c r="B62" s="27">
        <f>+B61+100</f>
        <v>300</v>
      </c>
      <c r="C62" s="74">
        <f>+C61</f>
        <v>1838.8745708289564</v>
      </c>
      <c r="D62" s="26">
        <f>+D61</f>
        <v>438.92853135563792</v>
      </c>
      <c r="E62" s="26">
        <f t="shared" ref="E62:E74" si="9">+B62*42*LaborPicking</f>
        <v>475.24588461538463</v>
      </c>
      <c r="F62" s="26">
        <f>SUM(C62:E62)</f>
        <v>2753.048986799979</v>
      </c>
      <c r="G62" s="32">
        <f>+F62/B62</f>
        <v>9.1768299559999296</v>
      </c>
      <c r="H62" s="52">
        <f>+G62/42</f>
        <v>0.21849595133333166</v>
      </c>
    </row>
    <row r="63" spans="1:24">
      <c r="A63" s="48"/>
      <c r="B63" s="27">
        <f t="shared" ref="B63:B71" si="10">+B62+100</f>
        <v>400</v>
      </c>
      <c r="C63" s="74">
        <f t="shared" ref="C63:C74" si="11">+C62</f>
        <v>1838.8745708289564</v>
      </c>
      <c r="D63" s="26">
        <f t="shared" ref="D63:D71" si="12">+D62</f>
        <v>438.92853135563792</v>
      </c>
      <c r="E63" s="26">
        <f t="shared" si="9"/>
        <v>633.66117948717954</v>
      </c>
      <c r="F63" s="26">
        <f t="shared" ref="F63:F71" si="13">SUM(C63:E63)</f>
        <v>2911.4642816717742</v>
      </c>
      <c r="G63" s="32">
        <f t="shared" ref="G63:G71" si="14">+F63/B63</f>
        <v>7.2786607041794351</v>
      </c>
      <c r="H63" s="52">
        <f t="shared" ref="H63:H74" si="15">+G63/42</f>
        <v>0.17330144533760561</v>
      </c>
    </row>
    <row r="64" spans="1:24">
      <c r="A64" s="48"/>
      <c r="B64" s="27">
        <f t="shared" si="10"/>
        <v>500</v>
      </c>
      <c r="C64" s="74">
        <f t="shared" si="11"/>
        <v>1838.8745708289564</v>
      </c>
      <c r="D64" s="26">
        <f t="shared" si="12"/>
        <v>438.92853135563792</v>
      </c>
      <c r="E64" s="26">
        <f t="shared" si="9"/>
        <v>792.07647435897445</v>
      </c>
      <c r="F64" s="26">
        <f t="shared" si="13"/>
        <v>3069.8795765435689</v>
      </c>
      <c r="G64" s="32">
        <f t="shared" si="14"/>
        <v>6.1397591530871374</v>
      </c>
      <c r="H64" s="52">
        <f t="shared" si="15"/>
        <v>0.14618474174016993</v>
      </c>
    </row>
    <row r="65" spans="1:8">
      <c r="A65" s="48"/>
      <c r="B65" s="27">
        <f t="shared" si="10"/>
        <v>600</v>
      </c>
      <c r="C65" s="74">
        <f t="shared" si="11"/>
        <v>1838.8745708289564</v>
      </c>
      <c r="D65" s="26">
        <f t="shared" si="12"/>
        <v>438.92853135563792</v>
      </c>
      <c r="E65" s="26">
        <f t="shared" si="9"/>
        <v>950.49176923076925</v>
      </c>
      <c r="F65" s="26">
        <f t="shared" si="13"/>
        <v>3228.2948714153636</v>
      </c>
      <c r="G65" s="32">
        <f t="shared" si="14"/>
        <v>5.3804914523589389</v>
      </c>
      <c r="H65" s="52">
        <f t="shared" si="15"/>
        <v>0.1281069393418795</v>
      </c>
    </row>
    <row r="66" spans="1:8">
      <c r="A66" s="48"/>
      <c r="B66" s="27">
        <f t="shared" si="10"/>
        <v>700</v>
      </c>
      <c r="C66" s="74">
        <f t="shared" si="11"/>
        <v>1838.8745708289564</v>
      </c>
      <c r="D66" s="26">
        <f t="shared" si="12"/>
        <v>438.92853135563792</v>
      </c>
      <c r="E66" s="26">
        <f t="shared" si="9"/>
        <v>1108.9070641025642</v>
      </c>
      <c r="F66" s="26">
        <f t="shared" si="13"/>
        <v>3386.7101662871587</v>
      </c>
      <c r="G66" s="32">
        <f t="shared" si="14"/>
        <v>4.8381573804102267</v>
      </c>
      <c r="H66" s="52">
        <f t="shared" si="15"/>
        <v>0.11519422334310063</v>
      </c>
    </row>
    <row r="67" spans="1:8">
      <c r="A67" s="48"/>
      <c r="B67" s="27">
        <f t="shared" si="10"/>
        <v>800</v>
      </c>
      <c r="C67" s="74">
        <f t="shared" si="11"/>
        <v>1838.8745708289564</v>
      </c>
      <c r="D67" s="26">
        <f t="shared" si="12"/>
        <v>438.92853135563792</v>
      </c>
      <c r="E67" s="26">
        <f t="shared" si="9"/>
        <v>1267.3223589743591</v>
      </c>
      <c r="F67" s="26">
        <f t="shared" si="13"/>
        <v>3545.1254611589538</v>
      </c>
      <c r="G67" s="32">
        <f t="shared" si="14"/>
        <v>4.4314068264486925</v>
      </c>
      <c r="H67" s="52">
        <f t="shared" si="15"/>
        <v>0.10550968634401649</v>
      </c>
    </row>
    <row r="68" spans="1:8">
      <c r="A68" s="48"/>
      <c r="B68" s="27">
        <f t="shared" si="10"/>
        <v>900</v>
      </c>
      <c r="C68" s="74">
        <f t="shared" si="11"/>
        <v>1838.8745708289564</v>
      </c>
      <c r="D68" s="26">
        <f t="shared" si="12"/>
        <v>438.92853135563792</v>
      </c>
      <c r="E68" s="26">
        <f t="shared" si="9"/>
        <v>1425.737653846154</v>
      </c>
      <c r="F68" s="26">
        <f t="shared" si="13"/>
        <v>3703.5407560307485</v>
      </c>
      <c r="G68" s="32">
        <f t="shared" si="14"/>
        <v>4.1150452844786098</v>
      </c>
      <c r="H68" s="52">
        <f t="shared" si="15"/>
        <v>9.797726867806214E-2</v>
      </c>
    </row>
    <row r="69" spans="1:8">
      <c r="A69" s="48"/>
      <c r="B69" s="27">
        <f t="shared" si="10"/>
        <v>1000</v>
      </c>
      <c r="C69" s="74">
        <f t="shared" si="11"/>
        <v>1838.8745708289564</v>
      </c>
      <c r="D69" s="26">
        <f t="shared" si="12"/>
        <v>438.92853135563792</v>
      </c>
      <c r="E69" s="26">
        <f t="shared" si="9"/>
        <v>1584.1529487179489</v>
      </c>
      <c r="F69" s="26">
        <f t="shared" si="13"/>
        <v>3861.9560509025432</v>
      </c>
      <c r="G69" s="32">
        <f t="shared" si="14"/>
        <v>3.8619560509025432</v>
      </c>
      <c r="H69" s="52">
        <f t="shared" si="15"/>
        <v>9.1951334545298649E-2</v>
      </c>
    </row>
    <row r="70" spans="1:8">
      <c r="A70" s="48"/>
      <c r="B70" s="27">
        <f t="shared" si="10"/>
        <v>1100</v>
      </c>
      <c r="C70" s="74">
        <f t="shared" si="11"/>
        <v>1838.8745708289564</v>
      </c>
      <c r="D70" s="26">
        <f t="shared" si="12"/>
        <v>438.92853135563792</v>
      </c>
      <c r="E70" s="26">
        <f t="shared" si="9"/>
        <v>1742.5682435897436</v>
      </c>
      <c r="F70" s="26">
        <f t="shared" si="13"/>
        <v>4020.3713457743379</v>
      </c>
      <c r="G70" s="32">
        <f t="shared" si="14"/>
        <v>3.6548830416130342</v>
      </c>
      <c r="H70" s="52">
        <f t="shared" si="15"/>
        <v>8.7021024800310334E-2</v>
      </c>
    </row>
    <row r="71" spans="1:8">
      <c r="A71" s="48"/>
      <c r="B71" s="27">
        <f t="shared" si="10"/>
        <v>1200</v>
      </c>
      <c r="C71" s="74">
        <f t="shared" si="11"/>
        <v>1838.8745708289564</v>
      </c>
      <c r="D71" s="26">
        <f t="shared" si="12"/>
        <v>438.92853135563792</v>
      </c>
      <c r="E71" s="26">
        <f t="shared" si="9"/>
        <v>1900.9835384615385</v>
      </c>
      <c r="F71" s="26">
        <f t="shared" si="13"/>
        <v>4178.7866406461326</v>
      </c>
      <c r="G71" s="32">
        <f t="shared" si="14"/>
        <v>3.482322200538444</v>
      </c>
      <c r="H71" s="52">
        <f t="shared" si="15"/>
        <v>8.2912433346153433E-2</v>
      </c>
    </row>
    <row r="72" spans="1:8">
      <c r="A72" s="48"/>
      <c r="B72" s="27">
        <f>+B71+100</f>
        <v>1300</v>
      </c>
      <c r="C72" s="74">
        <f t="shared" si="11"/>
        <v>1838.8745708289564</v>
      </c>
      <c r="D72" s="26">
        <f>+D71</f>
        <v>438.92853135563792</v>
      </c>
      <c r="E72" s="26">
        <f t="shared" si="9"/>
        <v>2059.3988333333336</v>
      </c>
      <c r="F72" s="26">
        <f>SUM(C72:E72)</f>
        <v>4337.2019355179282</v>
      </c>
      <c r="G72" s="32">
        <f>+F72/B72</f>
        <v>3.3363091811676369</v>
      </c>
      <c r="H72" s="52">
        <f t="shared" si="15"/>
        <v>7.943593288494373E-2</v>
      </c>
    </row>
    <row r="73" spans="1:8">
      <c r="A73" s="48"/>
      <c r="B73" s="27">
        <f>+B72+100</f>
        <v>1400</v>
      </c>
      <c r="C73" s="74">
        <f t="shared" si="11"/>
        <v>1838.8745708289564</v>
      </c>
      <c r="D73" s="26">
        <f>+D72</f>
        <v>438.92853135563792</v>
      </c>
      <c r="E73" s="26">
        <f t="shared" si="9"/>
        <v>2217.8141282051283</v>
      </c>
      <c r="F73" s="26">
        <f>SUM(C73:E73)</f>
        <v>4495.6172303897229</v>
      </c>
      <c r="G73" s="32">
        <f>+F73/B73</f>
        <v>3.2111551645640879</v>
      </c>
      <c r="H73" s="52">
        <f t="shared" si="15"/>
        <v>7.6456075346763991E-2</v>
      </c>
    </row>
    <row r="74" spans="1:8">
      <c r="A74" s="39"/>
      <c r="B74" s="14">
        <f>+B73+100</f>
        <v>1500</v>
      </c>
      <c r="C74" s="76">
        <f t="shared" si="11"/>
        <v>1838.8745708289564</v>
      </c>
      <c r="D74" s="25">
        <f>+D73</f>
        <v>438.92853135563792</v>
      </c>
      <c r="E74" s="25">
        <f t="shared" si="9"/>
        <v>2376.229423076923</v>
      </c>
      <c r="F74" s="25">
        <f>SUM(C74:E74)</f>
        <v>4654.0325252615175</v>
      </c>
      <c r="G74" s="15">
        <f>+F74/B74</f>
        <v>3.1026883501743452</v>
      </c>
      <c r="H74" s="54">
        <f t="shared" si="15"/>
        <v>7.3873532147008217E-2</v>
      </c>
    </row>
  </sheetData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H15" sqref="H15"/>
    </sheetView>
  </sheetViews>
  <sheetFormatPr defaultColWidth="23" defaultRowHeight="12.75"/>
  <cols>
    <col min="1" max="5" width="23" style="1"/>
    <col min="6" max="6" width="5.42578125" style="1" customWidth="1"/>
    <col min="7" max="8" width="23" style="1"/>
    <col min="9" max="11" width="9" style="1" customWidth="1"/>
    <col min="12" max="16384" width="23" style="1"/>
  </cols>
  <sheetData>
    <row r="1" spans="1:4" ht="18">
      <c r="A1" s="115" t="s">
        <v>339</v>
      </c>
      <c r="B1" s="116" t="s">
        <v>340</v>
      </c>
      <c r="C1" s="116" t="s">
        <v>24</v>
      </c>
      <c r="D1" s="116" t="s">
        <v>233</v>
      </c>
    </row>
    <row r="2" spans="1:4" ht="18">
      <c r="A2" s="112"/>
      <c r="B2" s="113"/>
      <c r="C2" s="113"/>
      <c r="D2" s="114"/>
    </row>
    <row r="3" spans="1:4" ht="18">
      <c r="A3" s="107" t="s">
        <v>19</v>
      </c>
      <c r="B3" s="105" t="s">
        <v>341</v>
      </c>
      <c r="C3" s="551">
        <f>43560/216</f>
        <v>201.66666666666666</v>
      </c>
      <c r="D3" s="108" t="s">
        <v>681</v>
      </c>
    </row>
    <row r="4" spans="1:4" ht="18">
      <c r="A4" s="107"/>
      <c r="B4" s="105"/>
      <c r="C4" s="105"/>
      <c r="D4" s="108"/>
    </row>
    <row r="5" spans="1:4" ht="18">
      <c r="A5" s="107" t="s">
        <v>20</v>
      </c>
      <c r="B5" s="105" t="s">
        <v>342</v>
      </c>
      <c r="C5" s="105">
        <v>519</v>
      </c>
      <c r="D5" s="108" t="s">
        <v>344</v>
      </c>
    </row>
    <row r="6" spans="1:4" ht="18">
      <c r="A6" s="107"/>
      <c r="B6" s="105"/>
      <c r="C6" s="105"/>
      <c r="D6" s="108"/>
    </row>
    <row r="7" spans="1:4" ht="18">
      <c r="A7" s="107" t="s">
        <v>338</v>
      </c>
      <c r="B7" s="105" t="s">
        <v>343</v>
      </c>
      <c r="C7" s="105">
        <v>908</v>
      </c>
      <c r="D7" s="108" t="s">
        <v>345</v>
      </c>
    </row>
    <row r="8" spans="1:4" ht="18">
      <c r="A8" s="107"/>
      <c r="B8" s="105"/>
      <c r="C8" s="105"/>
      <c r="D8" s="108"/>
    </row>
    <row r="9" spans="1:4" ht="18">
      <c r="A9" s="107" t="s">
        <v>338</v>
      </c>
      <c r="B9" s="105" t="s">
        <v>343</v>
      </c>
      <c r="C9" s="105">
        <v>1200</v>
      </c>
      <c r="D9" s="108" t="s">
        <v>346</v>
      </c>
    </row>
    <row r="10" spans="1:4">
      <c r="A10" s="109"/>
      <c r="B10" s="110"/>
      <c r="C10" s="110"/>
      <c r="D10" s="111"/>
    </row>
    <row r="11" spans="1:4">
      <c r="A11" s="544"/>
      <c r="B11" s="106"/>
      <c r="C11" s="106"/>
      <c r="D11" s="548"/>
    </row>
    <row r="12" spans="1:4">
      <c r="A12" s="535"/>
      <c r="B12" s="103"/>
      <c r="C12" s="103"/>
      <c r="D12" s="536"/>
    </row>
    <row r="13" spans="1:4">
      <c r="A13" s="535"/>
      <c r="B13" s="103"/>
      <c r="C13" s="103"/>
      <c r="D13" s="536"/>
    </row>
    <row r="14" spans="1:4">
      <c r="A14" s="535"/>
      <c r="B14" s="103"/>
      <c r="C14" s="103"/>
      <c r="D14" s="536"/>
    </row>
    <row r="15" spans="1:4">
      <c r="A15" s="535"/>
      <c r="B15" s="103"/>
      <c r="C15" s="103"/>
      <c r="D15" s="536"/>
    </row>
    <row r="16" spans="1:4">
      <c r="A16" s="535"/>
      <c r="B16" s="103"/>
      <c r="C16" s="103"/>
      <c r="D16" s="536"/>
    </row>
    <row r="17" spans="1:4">
      <c r="A17" s="535"/>
      <c r="B17" s="103"/>
      <c r="C17" s="103"/>
      <c r="D17" s="536"/>
    </row>
    <row r="18" spans="1:4">
      <c r="A18" s="535"/>
      <c r="B18" s="103"/>
      <c r="C18" s="103"/>
      <c r="D18" s="536"/>
    </row>
    <row r="19" spans="1:4">
      <c r="A19" s="535"/>
      <c r="B19" s="103"/>
      <c r="C19" s="103"/>
      <c r="D19" s="536"/>
    </row>
    <row r="20" spans="1:4">
      <c r="A20" s="535"/>
      <c r="B20" s="103"/>
      <c r="C20" s="103"/>
      <c r="D20" s="536"/>
    </row>
    <row r="21" spans="1:4">
      <c r="A21" s="535"/>
      <c r="B21" s="103"/>
      <c r="C21" s="103"/>
      <c r="D21" s="536"/>
    </row>
    <row r="22" spans="1:4">
      <c r="A22" s="535"/>
      <c r="B22" s="103"/>
      <c r="C22" s="103"/>
      <c r="D22" s="536"/>
    </row>
    <row r="23" spans="1:4">
      <c r="A23" s="535"/>
      <c r="B23" s="103"/>
      <c r="C23" s="103"/>
      <c r="D23" s="536"/>
    </row>
    <row r="24" spans="1:4">
      <c r="A24" s="535"/>
      <c r="B24" s="103"/>
      <c r="C24" s="103"/>
      <c r="D24" s="536"/>
    </row>
    <row r="25" spans="1:4">
      <c r="A25" s="535"/>
      <c r="B25" s="103"/>
      <c r="C25" s="103"/>
      <c r="D25" s="536"/>
    </row>
    <row r="26" spans="1:4">
      <c r="A26" s="535"/>
      <c r="B26" s="103"/>
      <c r="C26" s="103"/>
      <c r="D26" s="536"/>
    </row>
    <row r="27" spans="1:4">
      <c r="A27" s="535"/>
      <c r="B27" s="103"/>
      <c r="C27" s="103"/>
      <c r="D27" s="536"/>
    </row>
    <row r="28" spans="1:4">
      <c r="A28" s="535"/>
      <c r="B28" s="103"/>
      <c r="C28" s="103"/>
      <c r="D28" s="536"/>
    </row>
    <row r="29" spans="1:4">
      <c r="A29" s="535"/>
      <c r="B29" s="103"/>
      <c r="C29" s="103"/>
      <c r="D29" s="536"/>
    </row>
    <row r="30" spans="1:4">
      <c r="A30" s="535"/>
      <c r="B30" s="103"/>
      <c r="C30" s="103"/>
      <c r="D30" s="536"/>
    </row>
    <row r="31" spans="1:4">
      <c r="A31" s="549"/>
      <c r="B31" s="534"/>
      <c r="C31" s="534"/>
      <c r="D31" s="550"/>
    </row>
    <row r="32" spans="1:4">
      <c r="A32" s="540" t="s">
        <v>354</v>
      </c>
      <c r="B32" s="541"/>
      <c r="C32" s="541"/>
      <c r="D32" s="542"/>
    </row>
    <row r="33" spans="1:4">
      <c r="A33" s="547" t="s">
        <v>230</v>
      </c>
      <c r="B33" s="547" t="s">
        <v>355</v>
      </c>
      <c r="C33" s="547" t="s">
        <v>356</v>
      </c>
      <c r="D33" s="547" t="s">
        <v>237</v>
      </c>
    </row>
    <row r="34" spans="1:4">
      <c r="A34" s="544">
        <f>+CLRowSpace</f>
        <v>18</v>
      </c>
      <c r="B34" s="106">
        <f>+'Factors &amp; Yield'!D22</f>
        <v>12</v>
      </c>
      <c r="C34" s="106">
        <f>+'Factors &amp; Yield'!D28</f>
        <v>18</v>
      </c>
      <c r="D34" s="548">
        <f>+'Factors &amp; Yield'!D27</f>
        <v>12</v>
      </c>
    </row>
    <row r="35" spans="1:4">
      <c r="A35" s="535">
        <f>+VARowSpace</f>
        <v>14</v>
      </c>
      <c r="B35" s="103">
        <f>+'Factors &amp; Yield'!E22</f>
        <v>5</v>
      </c>
      <c r="C35" s="103">
        <f>+'Factors &amp; Yield'!E28</f>
        <v>12</v>
      </c>
      <c r="D35" s="536">
        <f>+'Factors &amp; Yield'!E27</f>
        <v>9</v>
      </c>
    </row>
    <row r="36" spans="1:4">
      <c r="A36" s="535">
        <f>+SSRowSpace</f>
        <v>12</v>
      </c>
      <c r="B36" s="103">
        <f>+'Factors &amp; Yield'!F22</f>
        <v>3</v>
      </c>
      <c r="C36" s="103">
        <f>+'Factors &amp; Yield'!F28</f>
        <v>10</v>
      </c>
      <c r="D36" s="536">
        <f>+'Factors &amp; Yield'!F27</f>
        <v>7</v>
      </c>
    </row>
    <row r="37" spans="1:4">
      <c r="A37" s="109"/>
      <c r="B37" s="110"/>
      <c r="C37" s="110"/>
      <c r="D37" s="111"/>
    </row>
    <row r="38" spans="1:4">
      <c r="A38" s="547" t="s">
        <v>678</v>
      </c>
      <c r="B38" s="547" t="s">
        <v>679</v>
      </c>
      <c r="C38" s="547" t="s">
        <v>680</v>
      </c>
      <c r="D38" s="547" t="s">
        <v>682</v>
      </c>
    </row>
    <row r="39" spans="1:4">
      <c r="A39" s="544">
        <f>+C34*D34</f>
        <v>216</v>
      </c>
      <c r="B39" s="545">
        <f>43560/A34</f>
        <v>2420</v>
      </c>
      <c r="C39" s="545">
        <f>+A39*B39</f>
        <v>522720</v>
      </c>
      <c r="D39" s="546">
        <v>100</v>
      </c>
    </row>
    <row r="40" spans="1:4">
      <c r="A40" s="535">
        <f>+C35*D35</f>
        <v>108</v>
      </c>
      <c r="B40" s="532">
        <f>43560/A35</f>
        <v>3111.4285714285716</v>
      </c>
      <c r="C40" s="532">
        <f>+A40*B40</f>
        <v>336034.28571428574</v>
      </c>
      <c r="D40" s="537">
        <f>+C40/C39*100</f>
        <v>64.285714285714292</v>
      </c>
    </row>
    <row r="41" spans="1:4">
      <c r="A41" s="109">
        <f>+C36*D36</f>
        <v>70</v>
      </c>
      <c r="B41" s="538">
        <f>43560/A36</f>
        <v>3630</v>
      </c>
      <c r="C41" s="538">
        <f>+A41*B41</f>
        <v>254100</v>
      </c>
      <c r="D41" s="539">
        <f>+C41/C39*100</f>
        <v>48.611111111111107</v>
      </c>
    </row>
  </sheetData>
  <printOptions horizontalCentered="1"/>
  <pageMargins left="0.5" right="0.5" top="1" bottom="0.5" header="0.5" footer="0.5"/>
  <pageSetup orientation="portrait" horizontalDpi="300" verticalDpi="300" r:id="rId1"/>
  <headerFooter alignWithMargins="0">
    <oddHeader>&amp;A</oddHeader>
    <oddFooter>&amp;L&amp; www.APPLES.MSU.EDU  &amp;F&amp;RPage &amp;P&amp;  of &amp;N</oddFooter>
  </headerFooter>
  <legacyDrawing r:id="rId2"/>
  <oleObjects>
    <oleObject progId="CorelDRAW.Graphic.13" shapeId="1026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A2" sqref="A2:IV5"/>
    </sheetView>
  </sheetViews>
  <sheetFormatPr defaultColWidth="7.5703125" defaultRowHeight="12.75"/>
  <cols>
    <col min="1" max="1" width="6" customWidth="1"/>
    <col min="2" max="2" width="7.140625" customWidth="1"/>
    <col min="6" max="6" width="6.85546875" customWidth="1"/>
    <col min="9" max="9" width="9.140625" customWidth="1"/>
    <col min="10" max="10" width="7" customWidth="1"/>
  </cols>
  <sheetData>
    <row r="1" spans="1:16" ht="20.25">
      <c r="A1" s="1306" t="s">
        <v>44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8"/>
    </row>
    <row r="2" spans="1:16" s="6" customFormat="1" ht="20.25">
      <c r="A2" s="1306" t="s">
        <v>45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8"/>
    </row>
    <row r="3" spans="1:16">
      <c r="A3" s="38"/>
      <c r="B3" s="1355" t="s">
        <v>19</v>
      </c>
      <c r="C3" s="1356"/>
      <c r="D3" s="1356"/>
      <c r="E3" s="1356"/>
      <c r="F3" s="1355" t="s">
        <v>20</v>
      </c>
      <c r="G3" s="1356"/>
      <c r="H3" s="1356"/>
      <c r="I3" s="1357"/>
      <c r="J3" s="1356" t="s">
        <v>338</v>
      </c>
      <c r="K3" s="1356"/>
      <c r="L3" s="1356"/>
      <c r="M3" s="1357"/>
      <c r="N3" s="16"/>
      <c r="O3" s="16"/>
      <c r="P3" s="16"/>
    </row>
    <row r="4" spans="1:16">
      <c r="A4" s="303" t="s">
        <v>46</v>
      </c>
      <c r="B4" s="304" t="s">
        <v>47</v>
      </c>
      <c r="C4" s="305" t="s">
        <v>48</v>
      </c>
      <c r="D4" s="305" t="s">
        <v>47</v>
      </c>
      <c r="E4" s="732" t="s">
        <v>49</v>
      </c>
      <c r="F4" s="306" t="s">
        <v>47</v>
      </c>
      <c r="G4" s="305" t="s">
        <v>48</v>
      </c>
      <c r="H4" s="305" t="s">
        <v>47</v>
      </c>
      <c r="I4" s="305" t="s">
        <v>49</v>
      </c>
      <c r="J4" s="737" t="s">
        <v>47</v>
      </c>
      <c r="K4" s="304" t="s">
        <v>48</v>
      </c>
      <c r="L4" s="304" t="s">
        <v>47</v>
      </c>
      <c r="M4" s="304" t="s">
        <v>49</v>
      </c>
      <c r="N4" s="16"/>
      <c r="O4" s="8"/>
      <c r="P4" s="8"/>
    </row>
    <row r="5" spans="1:16">
      <c r="A5" s="307" t="s">
        <v>30</v>
      </c>
      <c r="B5" s="308" t="s">
        <v>50</v>
      </c>
      <c r="C5" s="309" t="s">
        <v>51</v>
      </c>
      <c r="D5" s="309" t="s">
        <v>51</v>
      </c>
      <c r="E5" s="733" t="s">
        <v>51</v>
      </c>
      <c r="F5" s="310" t="s">
        <v>50</v>
      </c>
      <c r="G5" s="309" t="s">
        <v>51</v>
      </c>
      <c r="H5" s="309" t="s">
        <v>51</v>
      </c>
      <c r="I5" s="309" t="s">
        <v>51</v>
      </c>
      <c r="J5" s="738" t="s">
        <v>50</v>
      </c>
      <c r="K5" s="308" t="s">
        <v>51</v>
      </c>
      <c r="L5" s="308" t="s">
        <v>51</v>
      </c>
      <c r="M5" s="309" t="s">
        <v>51</v>
      </c>
      <c r="N5" s="16"/>
      <c r="O5" s="8"/>
      <c r="P5" s="8"/>
    </row>
    <row r="6" spans="1:16">
      <c r="A6" s="705">
        <v>0</v>
      </c>
      <c r="B6" s="706">
        <f>+'Central Leader'!B11</f>
        <v>1</v>
      </c>
      <c r="C6" s="707">
        <f>+'Central Leader'!F11</f>
        <v>224</v>
      </c>
      <c r="D6" s="707">
        <f>+'Central Leader'!D11</f>
        <v>15</v>
      </c>
      <c r="E6" s="734">
        <f>+'Central Leader'!I11</f>
        <v>794</v>
      </c>
      <c r="F6" s="706">
        <f>+'Vertical Axe'!B11</f>
        <v>1</v>
      </c>
      <c r="G6" s="707">
        <f>+'Vertical Axe'!F11</f>
        <v>224</v>
      </c>
      <c r="H6" s="707">
        <f>+'Vertical Axe'!D11</f>
        <v>15</v>
      </c>
      <c r="I6" s="708">
        <f>+'Vertical Axe'!I11</f>
        <v>794</v>
      </c>
      <c r="J6" s="706">
        <f>+'Tall Spindle'!B11</f>
        <v>1</v>
      </c>
      <c r="K6" s="707">
        <f>+'Tall Spindle'!F11</f>
        <v>224</v>
      </c>
      <c r="L6" s="707">
        <f>+'Tall Spindle'!D11</f>
        <v>15</v>
      </c>
      <c r="M6" s="708">
        <f>+'Tall Spindle'!I11</f>
        <v>794</v>
      </c>
      <c r="N6" s="16"/>
      <c r="O6" s="16"/>
      <c r="P6" s="16"/>
    </row>
    <row r="7" spans="1:16">
      <c r="A7" s="709">
        <v>1</v>
      </c>
      <c r="B7" s="710">
        <f>+'Central Leader'!B63</f>
        <v>21.197647058823531</v>
      </c>
      <c r="C7" s="711">
        <f>+'Central Leader'!F63</f>
        <v>150.98184281045755</v>
      </c>
      <c r="D7" s="711">
        <f>+'Central Leader'!D63</f>
        <v>221.25882352941173</v>
      </c>
      <c r="E7" s="735">
        <f>+'Central Leader'!I63</f>
        <v>2265.7378677080887</v>
      </c>
      <c r="F7" s="710">
        <f>+'Vertical Axe'!B64</f>
        <v>87.517647058823528</v>
      </c>
      <c r="G7" s="711">
        <f>+'Vertical Axe'!F64</f>
        <v>186.94157614379085</v>
      </c>
      <c r="H7" s="711">
        <f>+'Vertical Axe'!D64</f>
        <v>820.05882352941182</v>
      </c>
      <c r="I7" s="712">
        <f>+'Vertical Axe'!I64</f>
        <v>8430.6709004172517</v>
      </c>
      <c r="J7" s="710">
        <f>+'Tall Spindle'!B64</f>
        <v>207.6776470588236</v>
      </c>
      <c r="K7" s="711">
        <f>+'Tall Spindle'!F64</f>
        <v>189.59544281045751</v>
      </c>
      <c r="L7" s="711">
        <f>+'Tall Spindle'!D64</f>
        <v>1902.458823529412</v>
      </c>
      <c r="M7" s="712">
        <f>+'Tall Spindle'!I64</f>
        <v>15071.316037954455</v>
      </c>
      <c r="N7" s="16"/>
      <c r="O7" s="16"/>
      <c r="P7" s="16"/>
    </row>
    <row r="8" spans="1:16">
      <c r="A8" s="709">
        <v>2</v>
      </c>
      <c r="B8" s="710">
        <f>+'Central Leader'!B93</f>
        <v>11.356615312791781</v>
      </c>
      <c r="C8" s="711">
        <f>+'Central Leader'!F93</f>
        <v>93.599559703881567</v>
      </c>
      <c r="D8" s="711">
        <f>+'Central Leader'!D93</f>
        <v>109.16953781512606</v>
      </c>
      <c r="E8" s="735">
        <f>+'Central Leader'!I93</f>
        <v>464.14481358216892</v>
      </c>
      <c r="F8" s="710">
        <f>+'Vertical Axe'!B94</f>
        <v>86.237647058823526</v>
      </c>
      <c r="G8" s="711">
        <f>+'Vertical Axe'!F94</f>
        <v>210.11022530612246</v>
      </c>
      <c r="H8" s="711">
        <f>+'Vertical Axe'!D94</f>
        <v>787.1788235294116</v>
      </c>
      <c r="I8" s="712">
        <f>+'Vertical Axe'!I94</f>
        <v>1546.4753419902963</v>
      </c>
      <c r="J8" s="710">
        <f>+'Tall Spindle'!B94</f>
        <v>28.924313725490197</v>
      </c>
      <c r="K8" s="711">
        <f>+'Tall Spindle'!F94</f>
        <v>278.25754915966388</v>
      </c>
      <c r="L8" s="711">
        <f>+'Tall Spindle'!D94</f>
        <v>280.95882352941175</v>
      </c>
      <c r="M8" s="712">
        <f>+'Tall Spindle'!I94</f>
        <v>1552.5059585025679</v>
      </c>
      <c r="N8" s="16"/>
      <c r="O8" s="16"/>
      <c r="P8" s="16"/>
    </row>
    <row r="9" spans="1:16">
      <c r="A9" s="709">
        <v>3</v>
      </c>
      <c r="B9" s="710">
        <f>+'Central Leader'!B124</f>
        <v>20.707647058823532</v>
      </c>
      <c r="C9" s="711">
        <f>+'Central Leader'!F124</f>
        <v>131.60050154061625</v>
      </c>
      <c r="D9" s="711">
        <f>+'Central Leader'!D124</f>
        <v>199.80882352941177</v>
      </c>
      <c r="E9" s="735">
        <f>+'Central Leader'!I124</f>
        <v>846.5961274013772</v>
      </c>
      <c r="F9" s="710">
        <f>+'Vertical Axe'!B124</f>
        <v>33.867647058823536</v>
      </c>
      <c r="G9" s="711">
        <f>+'Vertical Axe'!F124</f>
        <v>303.02493283313328</v>
      </c>
      <c r="H9" s="711">
        <f>+'Vertical Axe'!D124</f>
        <v>331.80882352941177</v>
      </c>
      <c r="I9" s="712">
        <f>+'Vertical Axe'!I124</f>
        <v>1456.5402191601638</v>
      </c>
      <c r="J9" s="710">
        <f>+'Tall Spindle'!B125</f>
        <v>46.472647058823533</v>
      </c>
      <c r="K9" s="711">
        <f>+'Tall Spindle'!F125</f>
        <v>445.00964796918777</v>
      </c>
      <c r="L9" s="711">
        <f>+'Tall Spindle'!D125</f>
        <v>459.53382352941173</v>
      </c>
      <c r="M9" s="712">
        <f>+'Tall Spindle'!I125</f>
        <v>1787.8792583289564</v>
      </c>
      <c r="N9" s="16"/>
      <c r="O9" s="16"/>
      <c r="P9" s="16"/>
    </row>
    <row r="10" spans="1:16">
      <c r="A10" s="709">
        <v>4</v>
      </c>
      <c r="B10" s="710">
        <f>+'Central Leader'!B155</f>
        <v>21.427647058823531</v>
      </c>
      <c r="C10" s="711">
        <f>+'Central Leader'!F155</f>
        <v>156.10570154061625</v>
      </c>
      <c r="D10" s="711">
        <f>+'Central Leader'!D155</f>
        <v>210.60882352941178</v>
      </c>
      <c r="E10" s="735">
        <f>+'Central Leader'!I155</f>
        <v>1124.5436599906629</v>
      </c>
      <c r="F10" s="710">
        <f>+'Vertical Axe'!B155</f>
        <v>34.587647058823535</v>
      </c>
      <c r="G10" s="711">
        <f>+'Vertical Axe'!F155</f>
        <v>327.53013283313328</v>
      </c>
      <c r="H10" s="711">
        <f>+'Vertical Axe'!D155</f>
        <v>342.60882352941178</v>
      </c>
      <c r="I10" s="712">
        <f>+'Vertical Axe'!I155</f>
        <v>1752.9112071065924</v>
      </c>
      <c r="J10" s="710">
        <f>+'Tall Spindle'!B157</f>
        <v>47.472647058823533</v>
      </c>
      <c r="K10" s="711">
        <f>+'Tall Spindle'!F157</f>
        <v>445.00964796918777</v>
      </c>
      <c r="L10" s="711">
        <f>+'Tall Spindle'!D157</f>
        <v>468.53382352941173</v>
      </c>
      <c r="M10" s="712">
        <f>+'Tall Spindle'!I157</f>
        <v>1838.8745708289564</v>
      </c>
      <c r="N10" s="16"/>
      <c r="O10" s="16"/>
      <c r="P10" s="16"/>
    </row>
    <row r="11" spans="1:16">
      <c r="A11" s="709">
        <v>5</v>
      </c>
      <c r="B11" s="710">
        <f>+'Central Leader'!B186</f>
        <v>25.089869281045754</v>
      </c>
      <c r="C11" s="711">
        <f>+'Central Leader'!F186</f>
        <v>236.37504598506075</v>
      </c>
      <c r="D11" s="711">
        <f>+'Central Leader'!D186</f>
        <v>255.20882352941177</v>
      </c>
      <c r="E11" s="735">
        <f>+'Central Leader'!I186</f>
        <v>1665.2196210025679</v>
      </c>
      <c r="F11" s="710">
        <f>+'Vertical Axe'!B186</f>
        <v>30.273361344537822</v>
      </c>
      <c r="G11" s="711">
        <f>+'Vertical Axe'!F186</f>
        <v>353.03331854741901</v>
      </c>
      <c r="H11" s="711">
        <f>+'Vertical Axe'!D186</f>
        <v>306.78025210084036</v>
      </c>
      <c r="I11" s="712">
        <f>+'Vertical Axe'!I186</f>
        <v>1732.5858213923066</v>
      </c>
      <c r="J11" s="710"/>
      <c r="K11" s="711"/>
      <c r="L11" s="711"/>
      <c r="M11" s="712"/>
      <c r="N11" s="16"/>
      <c r="O11" s="69"/>
      <c r="P11" s="16"/>
    </row>
    <row r="12" spans="1:16">
      <c r="A12" s="709">
        <v>6</v>
      </c>
      <c r="B12" s="710">
        <f>+'Central Leader'!B217</f>
        <v>27.312091503267975</v>
      </c>
      <c r="C12" s="711">
        <f>+'Central Leader'!F217</f>
        <v>267.63399042950516</v>
      </c>
      <c r="D12" s="711">
        <f>+'Central Leader'!D217</f>
        <v>278.20882352941175</v>
      </c>
      <c r="E12" s="735">
        <f>+'Central Leader'!I217</f>
        <v>1770.104997738679</v>
      </c>
      <c r="F12" s="710">
        <f>+'Vertical Axe'!B218</f>
        <v>47.016218487394958</v>
      </c>
      <c r="G12" s="711">
        <f>+'Vertical Axe'!F218</f>
        <v>442.89106140456192</v>
      </c>
      <c r="H12" s="711">
        <f>+'Vertical Axe'!D218</f>
        <v>463.46596638655467</v>
      </c>
      <c r="I12" s="712">
        <f>+'Vertical Axe'!I218</f>
        <v>1978.7268678208782</v>
      </c>
      <c r="J12" s="710"/>
      <c r="K12" s="711"/>
      <c r="L12" s="711"/>
      <c r="M12" s="712"/>
      <c r="N12" s="16"/>
      <c r="O12" s="69"/>
      <c r="P12" s="16"/>
    </row>
    <row r="13" spans="1:16">
      <c r="A13" s="709">
        <v>7</v>
      </c>
      <c r="B13" s="710">
        <f>+'Central Leader'!B248</f>
        <v>41.756535947712415</v>
      </c>
      <c r="C13" s="711">
        <f>+'Central Leader'!F248</f>
        <v>330.15187931839404</v>
      </c>
      <c r="D13" s="711">
        <f>+'Central Leader'!D248</f>
        <v>414.20882352941175</v>
      </c>
      <c r="E13" s="735">
        <f>+'Central Leader'!I248</f>
        <v>1967.215074127568</v>
      </c>
      <c r="F13" s="710"/>
      <c r="G13" s="711"/>
      <c r="H13" s="711"/>
      <c r="I13" s="712"/>
      <c r="J13" s="710"/>
      <c r="K13" s="711"/>
      <c r="L13" s="711"/>
      <c r="M13" s="712"/>
      <c r="N13" s="69"/>
      <c r="O13" s="69"/>
      <c r="P13" s="16"/>
    </row>
    <row r="14" spans="1:16">
      <c r="A14" s="744">
        <v>8</v>
      </c>
      <c r="B14" s="713">
        <f>+'Central Leader'!B280</f>
        <v>43.978758169934636</v>
      </c>
      <c r="C14" s="714">
        <f>+'Central Leader'!F280</f>
        <v>349.25582376283847</v>
      </c>
      <c r="D14" s="714">
        <f>+'Central Leader'!D280</f>
        <v>431.20882352941169</v>
      </c>
      <c r="E14" s="736">
        <f>+'Central Leader'!I280</f>
        <v>1982.4721435720123</v>
      </c>
      <c r="F14" s="713"/>
      <c r="G14" s="714"/>
      <c r="H14" s="714"/>
      <c r="I14" s="715"/>
      <c r="J14" s="713"/>
      <c r="K14" s="714"/>
      <c r="L14" s="714"/>
      <c r="M14" s="715"/>
      <c r="N14" s="69"/>
      <c r="O14" s="69"/>
      <c r="P14" s="16"/>
    </row>
    <row r="15" spans="1:16">
      <c r="A15" s="739" t="s">
        <v>49</v>
      </c>
      <c r="B15" s="740">
        <f>SUM(B6:B14)</f>
        <v>213.82681139122315</v>
      </c>
      <c r="C15" s="741">
        <f>SUM(C6:C14)</f>
        <v>1939.70434509137</v>
      </c>
      <c r="D15" s="741">
        <f t="shared" ref="D15:M15" si="0">SUM(D6:D14)</f>
        <v>2134.6813025210085</v>
      </c>
      <c r="E15" s="742">
        <f t="shared" si="0"/>
        <v>12880.034305123125</v>
      </c>
      <c r="F15" s="740">
        <f t="shared" si="0"/>
        <v>320.50016806722692</v>
      </c>
      <c r="G15" s="741">
        <f t="shared" si="0"/>
        <v>2047.5312470681606</v>
      </c>
      <c r="H15" s="741">
        <f t="shared" si="0"/>
        <v>3066.9015126050417</v>
      </c>
      <c r="I15" s="743">
        <f t="shared" si="0"/>
        <v>17691.910357887489</v>
      </c>
      <c r="J15" s="740">
        <f t="shared" si="0"/>
        <v>331.54725490196091</v>
      </c>
      <c r="K15" s="741">
        <f t="shared" si="0"/>
        <v>1581.8722879084971</v>
      </c>
      <c r="L15" s="741">
        <f t="shared" si="0"/>
        <v>3126.4852941176468</v>
      </c>
      <c r="M15" s="743">
        <f t="shared" si="0"/>
        <v>21044.575825614938</v>
      </c>
    </row>
    <row r="16" spans="1:16" s="302" customFormat="1" ht="18">
      <c r="A16" s="1352" t="str">
        <f>+B3</f>
        <v>Central Leader</v>
      </c>
      <c r="B16" s="1353"/>
      <c r="C16" s="1353"/>
      <c r="D16" s="1353"/>
      <c r="E16" s="1353"/>
      <c r="F16" s="1353"/>
      <c r="G16" s="1353"/>
      <c r="H16" s="1353"/>
      <c r="I16" s="1353"/>
      <c r="J16" s="1353"/>
      <c r="K16" s="1353"/>
      <c r="L16" s="1353"/>
      <c r="M16" s="1354"/>
    </row>
    <row r="17" spans="1:13" s="302" customFormat="1" ht="15">
      <c r="A17" s="716" t="str">
        <f>+'Central Leader'!A283</f>
        <v>Year 0,  Site Preparation Cost.</v>
      </c>
      <c r="B17" s="717"/>
      <c r="C17" s="717"/>
      <c r="D17" s="717"/>
      <c r="E17" s="717"/>
      <c r="F17" s="717"/>
      <c r="G17" s="717"/>
      <c r="H17" s="717"/>
      <c r="I17" s="717">
        <f>+'Central Leader'!I283</f>
        <v>794</v>
      </c>
      <c r="J17" s="718"/>
      <c r="K17" s="718"/>
      <c r="L17" s="718"/>
      <c r="M17" s="719"/>
    </row>
    <row r="18" spans="1:13" s="302" customFormat="1" ht="15">
      <c r="A18" s="720" t="str">
        <f>+'Central Leader'!A284</f>
        <v>Year 1, Planting Year.</v>
      </c>
      <c r="B18" s="721"/>
      <c r="C18" s="721"/>
      <c r="D18" s="721"/>
      <c r="E18" s="721"/>
      <c r="F18" s="721"/>
      <c r="G18" s="721"/>
      <c r="H18" s="721"/>
      <c r="I18" s="721">
        <f>+'Central Leader'!I284</f>
        <v>2265.7378677080887</v>
      </c>
      <c r="J18" s="722"/>
      <c r="K18" s="722"/>
      <c r="L18" s="722"/>
      <c r="M18" s="723"/>
    </row>
    <row r="19" spans="1:13" s="302" customFormat="1" ht="15">
      <c r="A19" s="720" t="str">
        <f>+'Central Leader'!A285</f>
        <v>Year 2, Non-bearing Year</v>
      </c>
      <c r="B19" s="721"/>
      <c r="C19" s="721"/>
      <c r="D19" s="721"/>
      <c r="E19" s="721"/>
      <c r="F19" s="721"/>
      <c r="G19" s="721"/>
      <c r="H19" s="721"/>
      <c r="I19" s="721">
        <f>+'Central Leader'!I285</f>
        <v>464.14481358216892</v>
      </c>
      <c r="J19" s="722"/>
      <c r="K19" s="722"/>
      <c r="L19" s="722"/>
      <c r="M19" s="723"/>
    </row>
    <row r="20" spans="1:13" s="302" customFormat="1" ht="15">
      <c r="A20" s="720" t="str">
        <f>+'Central Leader'!A286</f>
        <v>Year 3, Non-bearing Year</v>
      </c>
      <c r="B20" s="721"/>
      <c r="C20" s="721"/>
      <c r="D20" s="721"/>
      <c r="E20" s="721"/>
      <c r="F20" s="721"/>
      <c r="G20" s="721"/>
      <c r="H20" s="721"/>
      <c r="I20" s="721">
        <f>+'Central Leader'!I286</f>
        <v>846.5961274013772</v>
      </c>
      <c r="J20" s="722"/>
      <c r="K20" s="722"/>
      <c r="L20" s="722"/>
      <c r="M20" s="723"/>
    </row>
    <row r="21" spans="1:13" s="302" customFormat="1" ht="15">
      <c r="A21" s="720" t="str">
        <f>+'Central Leader'!A287</f>
        <v>Year 4, Early Cropping Year</v>
      </c>
      <c r="B21" s="721"/>
      <c r="C21" s="721"/>
      <c r="D21" s="721"/>
      <c r="E21" s="721"/>
      <c r="F21" s="721"/>
      <c r="G21" s="721"/>
      <c r="H21" s="721"/>
      <c r="I21" s="721">
        <f>+'Central Leader'!I287</f>
        <v>1124.5436599906629</v>
      </c>
      <c r="J21" s="722"/>
      <c r="K21" s="722"/>
      <c r="L21" s="722"/>
      <c r="M21" s="723"/>
    </row>
    <row r="22" spans="1:13" s="302" customFormat="1" ht="15">
      <c r="A22" s="720" t="str">
        <f>+'Central Leader'!A288</f>
        <v>Year 5, Early Cropping Year</v>
      </c>
      <c r="B22" s="721"/>
      <c r="C22" s="721"/>
      <c r="D22" s="721"/>
      <c r="E22" s="721"/>
      <c r="F22" s="721"/>
      <c r="G22" s="721"/>
      <c r="H22" s="721"/>
      <c r="I22" s="721">
        <f>+'Central Leader'!I288</f>
        <v>1665.2196210025679</v>
      </c>
      <c r="J22" s="722"/>
      <c r="K22" s="722"/>
      <c r="L22" s="722"/>
      <c r="M22" s="723"/>
    </row>
    <row r="23" spans="1:13" s="302" customFormat="1" ht="15">
      <c r="A23" s="720" t="str">
        <f>+'Central Leader'!A289</f>
        <v>Year 6, Early Cropping Year</v>
      </c>
      <c r="B23" s="721"/>
      <c r="C23" s="721"/>
      <c r="D23" s="721"/>
      <c r="E23" s="721"/>
      <c r="F23" s="721"/>
      <c r="G23" s="721"/>
      <c r="H23" s="721"/>
      <c r="I23" s="721">
        <f>+'Central Leader'!I289</f>
        <v>1770.104997738679</v>
      </c>
      <c r="J23" s="722"/>
      <c r="K23" s="722"/>
      <c r="L23" s="722"/>
      <c r="M23" s="723"/>
    </row>
    <row r="24" spans="1:13" s="302" customFormat="1" ht="15">
      <c r="A24" s="720" t="str">
        <f>+'Central Leader'!A290</f>
        <v>Year 7, Early Cropping Year</v>
      </c>
      <c r="B24" s="721"/>
      <c r="C24" s="721"/>
      <c r="D24" s="721"/>
      <c r="E24" s="721"/>
      <c r="F24" s="721"/>
      <c r="G24" s="721"/>
      <c r="H24" s="721"/>
      <c r="I24" s="721">
        <f>+'Central Leader'!I290</f>
        <v>1967.215074127568</v>
      </c>
      <c r="J24" s="722"/>
      <c r="K24" s="722"/>
      <c r="L24" s="722"/>
      <c r="M24" s="723"/>
    </row>
    <row r="25" spans="1:13" s="302" customFormat="1" ht="15">
      <c r="A25" s="724" t="str">
        <f>+'Central Leader'!A291</f>
        <v>Year 8, Full Bearing Year</v>
      </c>
      <c r="B25" s="725"/>
      <c r="C25" s="725"/>
      <c r="D25" s="725"/>
      <c r="E25" s="725"/>
      <c r="F25" s="725"/>
      <c r="G25" s="725"/>
      <c r="H25" s="725"/>
      <c r="I25" s="725">
        <f>+'Central Leader'!I291</f>
        <v>1982.4721435720123</v>
      </c>
      <c r="J25" s="726"/>
      <c r="K25" s="726"/>
      <c r="L25" s="726"/>
      <c r="M25" s="727"/>
    </row>
    <row r="26" spans="1:13" s="302" customFormat="1" ht="18">
      <c r="A26" s="1352" t="str">
        <f>+F3</f>
        <v>Vertical Axe</v>
      </c>
      <c r="B26" s="1353"/>
      <c r="C26" s="1353"/>
      <c r="D26" s="1353"/>
      <c r="E26" s="1353"/>
      <c r="F26" s="1353"/>
      <c r="G26" s="1353"/>
      <c r="H26" s="1353"/>
      <c r="I26" s="1353"/>
      <c r="J26" s="1353"/>
      <c r="K26" s="1353"/>
      <c r="L26" s="1353"/>
      <c r="M26" s="1354"/>
    </row>
    <row r="27" spans="1:13" s="302" customFormat="1" ht="15">
      <c r="A27" s="716" t="str">
        <f>+'Vertical Axe'!A221</f>
        <v>Year 0,  Site Preparation Cost.</v>
      </c>
      <c r="B27" s="717"/>
      <c r="C27" s="717"/>
      <c r="D27" s="717"/>
      <c r="E27" s="717"/>
      <c r="F27" s="717"/>
      <c r="G27" s="717"/>
      <c r="H27" s="717"/>
      <c r="I27" s="717">
        <f>+'Vertical Axe'!I221</f>
        <v>794</v>
      </c>
      <c r="J27" s="718"/>
      <c r="K27" s="718"/>
      <c r="L27" s="718"/>
      <c r="M27" s="719"/>
    </row>
    <row r="28" spans="1:13" s="302" customFormat="1" ht="15">
      <c r="A28" s="720" t="str">
        <f>+'Vertical Axe'!A222</f>
        <v>Year 1, Planting Year.</v>
      </c>
      <c r="B28" s="721"/>
      <c r="C28" s="721"/>
      <c r="D28" s="721"/>
      <c r="E28" s="721"/>
      <c r="F28" s="721"/>
      <c r="G28" s="721"/>
      <c r="H28" s="721"/>
      <c r="I28" s="721">
        <f>+'Vertical Axe'!I222</f>
        <v>8430.6709004172517</v>
      </c>
      <c r="J28" s="722"/>
      <c r="K28" s="722"/>
      <c r="L28" s="722"/>
      <c r="M28" s="723"/>
    </row>
    <row r="29" spans="1:13" s="302" customFormat="1" ht="15">
      <c r="A29" s="720" t="str">
        <f>+'Vertical Axe'!A223</f>
        <v>Year 2, Non-bearing Year</v>
      </c>
      <c r="B29" s="721"/>
      <c r="C29" s="721"/>
      <c r="D29" s="721"/>
      <c r="E29" s="721"/>
      <c r="F29" s="721"/>
      <c r="G29" s="721"/>
      <c r="H29" s="721"/>
      <c r="I29" s="721">
        <f>+'Vertical Axe'!I223</f>
        <v>1546.4753419902963</v>
      </c>
      <c r="J29" s="722"/>
      <c r="K29" s="722"/>
      <c r="L29" s="722"/>
      <c r="M29" s="723"/>
    </row>
    <row r="30" spans="1:13" s="302" customFormat="1" ht="15">
      <c r="A30" s="720" t="str">
        <f>+'Vertical Axe'!A224</f>
        <v>Year 3, Early Cropping Year</v>
      </c>
      <c r="B30" s="721"/>
      <c r="C30" s="721"/>
      <c r="D30" s="721"/>
      <c r="E30" s="721"/>
      <c r="F30" s="721"/>
      <c r="G30" s="721"/>
      <c r="H30" s="721"/>
      <c r="I30" s="721">
        <f>+'Vertical Axe'!I224</f>
        <v>1456.5402191601638</v>
      </c>
      <c r="J30" s="722"/>
      <c r="K30" s="722"/>
      <c r="L30" s="722"/>
      <c r="M30" s="723"/>
    </row>
    <row r="31" spans="1:13" s="302" customFormat="1" ht="15">
      <c r="A31" s="720" t="str">
        <f>+'Vertical Axe'!A225</f>
        <v>Year 4, Early Cropping Year</v>
      </c>
      <c r="B31" s="721"/>
      <c r="C31" s="721"/>
      <c r="D31" s="721"/>
      <c r="E31" s="721"/>
      <c r="F31" s="721"/>
      <c r="G31" s="721"/>
      <c r="H31" s="721"/>
      <c r="I31" s="721">
        <f>+'Vertical Axe'!I225</f>
        <v>1752.9112071065924</v>
      </c>
      <c r="J31" s="722"/>
      <c r="K31" s="722"/>
      <c r="L31" s="722"/>
      <c r="M31" s="723"/>
    </row>
    <row r="32" spans="1:13" s="302" customFormat="1" ht="15">
      <c r="A32" s="720" t="str">
        <f>+'Vertical Axe'!A226</f>
        <v>Year 5, Early Cropping Year</v>
      </c>
      <c r="B32" s="721"/>
      <c r="C32" s="721"/>
      <c r="D32" s="721"/>
      <c r="E32" s="721"/>
      <c r="F32" s="721"/>
      <c r="G32" s="721"/>
      <c r="H32" s="721"/>
      <c r="I32" s="721">
        <f>+'Vertical Axe'!I226</f>
        <v>1732.5858213923066</v>
      </c>
      <c r="J32" s="722"/>
      <c r="K32" s="722"/>
      <c r="L32" s="722"/>
      <c r="M32" s="723"/>
    </row>
    <row r="33" spans="1:13" s="302" customFormat="1" ht="15">
      <c r="A33" s="724" t="str">
        <f>+'Vertical Axe'!A227</f>
        <v>Year 6, Full Bearing Year</v>
      </c>
      <c r="B33" s="725"/>
      <c r="C33" s="725"/>
      <c r="D33" s="725"/>
      <c r="E33" s="725"/>
      <c r="F33" s="725"/>
      <c r="G33" s="725"/>
      <c r="H33" s="725"/>
      <c r="I33" s="725">
        <f>+'Vertical Axe'!I227</f>
        <v>1978.7268678208782</v>
      </c>
      <c r="J33" s="726"/>
      <c r="K33" s="726"/>
      <c r="L33" s="726"/>
      <c r="M33" s="727"/>
    </row>
    <row r="34" spans="1:13" s="302" customFormat="1" ht="18">
      <c r="A34" s="1352" t="str">
        <f>+J3</f>
        <v>Tall Spindle</v>
      </c>
      <c r="B34" s="1353"/>
      <c r="C34" s="1353"/>
      <c r="D34" s="1353"/>
      <c r="E34" s="1353"/>
      <c r="F34" s="1353"/>
      <c r="G34" s="1353"/>
      <c r="H34" s="1353"/>
      <c r="I34" s="1353"/>
      <c r="J34" s="1353"/>
      <c r="K34" s="1353"/>
      <c r="L34" s="1353"/>
      <c r="M34" s="1354"/>
    </row>
    <row r="35" spans="1:13" s="302" customFormat="1" ht="15">
      <c r="A35" s="716" t="str">
        <f>+'Tall Spindle'!A161</f>
        <v>Year 0,  Site Preparation Cost.</v>
      </c>
      <c r="B35" s="717"/>
      <c r="C35" s="717"/>
      <c r="D35" s="717"/>
      <c r="E35" s="717"/>
      <c r="F35" s="717"/>
      <c r="G35" s="717"/>
      <c r="H35" s="717"/>
      <c r="I35" s="717">
        <f>+'Tall Spindle'!I161</f>
        <v>794</v>
      </c>
      <c r="J35" s="718"/>
      <c r="K35" s="718"/>
      <c r="L35" s="718"/>
      <c r="M35" s="719"/>
    </row>
    <row r="36" spans="1:13" s="302" customFormat="1" ht="15">
      <c r="A36" s="720" t="str">
        <f>+'Tall Spindle'!A162</f>
        <v>Year 1, Planting Year.</v>
      </c>
      <c r="B36" s="721"/>
      <c r="C36" s="721"/>
      <c r="D36" s="721"/>
      <c r="E36" s="721"/>
      <c r="F36" s="721"/>
      <c r="G36" s="721"/>
      <c r="H36" s="721"/>
      <c r="I36" s="721">
        <f>+'Tall Spindle'!I162</f>
        <v>15071.316037954455</v>
      </c>
      <c r="J36" s="722"/>
      <c r="K36" s="722"/>
      <c r="L36" s="722"/>
      <c r="M36" s="723"/>
    </row>
    <row r="37" spans="1:13" s="302" customFormat="1" ht="15">
      <c r="A37" s="720" t="str">
        <f>+'Tall Spindle'!A163</f>
        <v>Year 2, Early Bearing Year</v>
      </c>
      <c r="B37" s="721"/>
      <c r="C37" s="721"/>
      <c r="D37" s="721"/>
      <c r="E37" s="721"/>
      <c r="F37" s="721"/>
      <c r="G37" s="721"/>
      <c r="H37" s="721"/>
      <c r="I37" s="721">
        <f>+'Tall Spindle'!I163</f>
        <v>1552.5059585025679</v>
      </c>
      <c r="J37" s="722"/>
      <c r="K37" s="722"/>
      <c r="L37" s="722"/>
      <c r="M37" s="723"/>
    </row>
    <row r="38" spans="1:13" s="302" customFormat="1" ht="15">
      <c r="A38" s="720" t="str">
        <f>+'Tall Spindle'!A164</f>
        <v>Year 3, Early Bearing Year</v>
      </c>
      <c r="B38" s="721"/>
      <c r="C38" s="721"/>
      <c r="D38" s="721"/>
      <c r="E38" s="721"/>
      <c r="F38" s="721"/>
      <c r="G38" s="721"/>
      <c r="H38" s="721"/>
      <c r="I38" s="721">
        <f>+'Tall Spindle'!I164</f>
        <v>1787.8792583289564</v>
      </c>
      <c r="J38" s="722"/>
      <c r="K38" s="722"/>
      <c r="L38" s="722"/>
      <c r="M38" s="723"/>
    </row>
    <row r="39" spans="1:13" s="302" customFormat="1" ht="15">
      <c r="A39" s="728" t="str">
        <f>+'Tall Spindle'!A165</f>
        <v>Year 4, Full Bearing Year</v>
      </c>
      <c r="B39" s="729"/>
      <c r="C39" s="729"/>
      <c r="D39" s="729"/>
      <c r="E39" s="729"/>
      <c r="F39" s="729"/>
      <c r="G39" s="729"/>
      <c r="H39" s="729"/>
      <c r="I39" s="729">
        <f>+'Tall Spindle'!I165</f>
        <v>1838.8745708289564</v>
      </c>
      <c r="J39" s="730"/>
      <c r="K39" s="730"/>
      <c r="L39" s="730"/>
      <c r="M39" s="731"/>
    </row>
  </sheetData>
  <mergeCells count="8">
    <mergeCell ref="A16:M16"/>
    <mergeCell ref="A26:M26"/>
    <mergeCell ref="A34:M34"/>
    <mergeCell ref="A1:M1"/>
    <mergeCell ref="A2:M2"/>
    <mergeCell ref="B3:E3"/>
    <mergeCell ref="F3:I3"/>
    <mergeCell ref="J3:M3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topLeftCell="A4" workbookViewId="0">
      <selection activeCell="H15" sqref="H15"/>
    </sheetView>
  </sheetViews>
  <sheetFormatPr defaultRowHeight="12.75"/>
  <cols>
    <col min="6" max="6" width="5.42578125" customWidth="1"/>
    <col min="9" max="11" width="9" customWidth="1"/>
  </cols>
  <sheetData>
    <row r="1" spans="1:11" ht="20.25">
      <c r="A1" s="47" t="s">
        <v>668</v>
      </c>
      <c r="B1" s="40"/>
      <c r="C1" s="40"/>
      <c r="D1" s="72"/>
      <c r="E1" s="40"/>
      <c r="F1" s="40"/>
      <c r="G1" s="40"/>
      <c r="H1" s="40"/>
      <c r="I1" s="40"/>
      <c r="J1" s="55"/>
      <c r="K1" s="16"/>
    </row>
    <row r="2" spans="1:11">
      <c r="A2" s="39"/>
      <c r="B2" s="11"/>
      <c r="C2" s="11"/>
      <c r="D2" s="25"/>
      <c r="E2" s="11"/>
      <c r="F2" s="11"/>
      <c r="G2" s="11"/>
      <c r="H2" s="11"/>
      <c r="I2" s="11"/>
      <c r="J2" s="57"/>
      <c r="K2" s="16"/>
    </row>
    <row r="3" spans="1:11">
      <c r="A3" s="464" t="s">
        <v>669</v>
      </c>
      <c r="B3" s="16"/>
      <c r="C3" s="16"/>
      <c r="D3" s="26"/>
      <c r="E3" s="16"/>
      <c r="F3" s="16"/>
      <c r="G3" s="16"/>
      <c r="H3" s="16"/>
      <c r="I3" s="16"/>
      <c r="J3" s="56"/>
      <c r="K3" s="16"/>
    </row>
    <row r="4" spans="1:11">
      <c r="A4" s="48"/>
      <c r="B4" s="16"/>
      <c r="C4" s="16"/>
      <c r="D4" s="26"/>
      <c r="E4" s="16"/>
      <c r="F4" s="16"/>
      <c r="G4" s="16"/>
      <c r="H4" s="16"/>
      <c r="I4" s="16"/>
      <c r="J4" s="56"/>
      <c r="K4" s="16"/>
    </row>
    <row r="5" spans="1:11">
      <c r="A5" s="48" t="s">
        <v>34</v>
      </c>
      <c r="B5" s="16"/>
      <c r="C5" s="16"/>
      <c r="D5" s="26"/>
      <c r="E5" s="16"/>
      <c r="F5" s="16"/>
      <c r="G5" s="16"/>
      <c r="H5" s="16"/>
      <c r="I5" s="16"/>
      <c r="J5" s="56"/>
      <c r="K5" s="16"/>
    </row>
    <row r="6" spans="1:11">
      <c r="A6" s="48" t="s">
        <v>35</v>
      </c>
      <c r="B6" s="16"/>
      <c r="C6" s="16"/>
      <c r="D6" s="26"/>
      <c r="E6" s="16"/>
      <c r="F6" s="16"/>
      <c r="G6" s="16"/>
      <c r="H6" s="16"/>
      <c r="I6" s="16"/>
      <c r="J6" s="56"/>
      <c r="K6" s="16"/>
    </row>
    <row r="7" spans="1:11">
      <c r="A7" s="48"/>
      <c r="B7" s="48"/>
      <c r="C7" s="46" t="s">
        <v>19</v>
      </c>
      <c r="D7" s="49"/>
      <c r="E7" s="48"/>
      <c r="F7" s="50" t="s">
        <v>20</v>
      </c>
      <c r="G7" s="37"/>
      <c r="H7" s="48"/>
      <c r="I7" s="50" t="s">
        <v>338</v>
      </c>
      <c r="J7" s="37"/>
      <c r="K7" s="16"/>
    </row>
    <row r="8" spans="1:11">
      <c r="A8" s="63" t="s">
        <v>36</v>
      </c>
      <c r="B8" s="63" t="s">
        <v>37</v>
      </c>
      <c r="C8" s="60" t="s">
        <v>37</v>
      </c>
      <c r="D8" s="61" t="s">
        <v>37</v>
      </c>
      <c r="E8" s="89" t="str">
        <f>+B8</f>
        <v>Cost</v>
      </c>
      <c r="F8" s="89" t="str">
        <f t="shared" ref="F8:J9" si="0">+C8</f>
        <v>Cost</v>
      </c>
      <c r="G8" s="89" t="str">
        <f t="shared" si="0"/>
        <v>Cost</v>
      </c>
      <c r="H8" s="90" t="str">
        <f t="shared" si="0"/>
        <v>Cost</v>
      </c>
      <c r="I8" s="89" t="str">
        <f t="shared" si="0"/>
        <v>Cost</v>
      </c>
      <c r="J8" s="91" t="str">
        <f t="shared" si="0"/>
        <v>Cost</v>
      </c>
      <c r="K8" s="16"/>
    </row>
    <row r="9" spans="1:11">
      <c r="A9" s="64" t="s">
        <v>38</v>
      </c>
      <c r="B9" s="64" t="s">
        <v>39</v>
      </c>
      <c r="C9" s="14" t="s">
        <v>40</v>
      </c>
      <c r="D9" s="62" t="s">
        <v>41</v>
      </c>
      <c r="E9" s="31" t="str">
        <f>+B9</f>
        <v xml:space="preserve"> /Bin</v>
      </c>
      <c r="F9" s="31" t="str">
        <f t="shared" si="0"/>
        <v xml:space="preserve"> /Bushel</v>
      </c>
      <c r="G9" s="31" t="str">
        <f t="shared" si="0"/>
        <v xml:space="preserve"> /lb.</v>
      </c>
      <c r="H9" s="92" t="str">
        <f t="shared" si="0"/>
        <v xml:space="preserve"> /Bin</v>
      </c>
      <c r="I9" s="31" t="str">
        <f t="shared" si="0"/>
        <v xml:space="preserve"> /Bushel</v>
      </c>
      <c r="J9" s="93" t="str">
        <f t="shared" si="0"/>
        <v xml:space="preserve"> /lb.</v>
      </c>
      <c r="K9" s="16"/>
    </row>
    <row r="10" spans="1:11">
      <c r="A10" s="63">
        <v>200</v>
      </c>
      <c r="B10" s="70">
        <f>+'CL Profit'!H61*850</f>
        <v>277.51884679470265</v>
      </c>
      <c r="C10" s="68">
        <f>+'CL Profit'!G61</f>
        <v>13.712695959267659</v>
      </c>
      <c r="D10" s="67">
        <f>+'CL Profit'!H61</f>
        <v>0.32649276093494428</v>
      </c>
      <c r="E10" s="70">
        <f>+'VA Profit'!H61*850</f>
        <v>278.09029811831493</v>
      </c>
      <c r="F10" s="68">
        <f>+'VA Profit'!G61</f>
        <v>13.740932377610857</v>
      </c>
      <c r="G10" s="67">
        <f>+'VA Profit'!H61</f>
        <v>0.32716505660978229</v>
      </c>
      <c r="H10" s="70">
        <f>+'TS Profit'!H61*850</f>
        <v>262.55221882606628</v>
      </c>
      <c r="I10" s="68">
        <f>+'TS Profit'!G61</f>
        <v>12.973168459640922</v>
      </c>
      <c r="J10" s="67">
        <f>+'TS Profit'!H61</f>
        <v>0.30888496332478388</v>
      </c>
      <c r="K10" s="16"/>
    </row>
    <row r="11" spans="1:11">
      <c r="A11" s="41">
        <f>+A10+100</f>
        <v>300</v>
      </c>
      <c r="B11" s="51">
        <f>+'CL Profit'!H62*850</f>
        <v>195.69931061242283</v>
      </c>
      <c r="C11" s="32">
        <f>+'CL Profit'!G62</f>
        <v>9.6698482890844222</v>
      </c>
      <c r="D11" s="52">
        <f>+'CL Profit'!H62</f>
        <v>0.23023448307343863</v>
      </c>
      <c r="E11" s="51">
        <f>+'VA Profit'!H62*850</f>
        <v>196.08027816149772</v>
      </c>
      <c r="F11" s="32">
        <f>+'VA Profit'!G62</f>
        <v>9.6886725679798875</v>
      </c>
      <c r="G11" s="52">
        <f>+'VA Profit'!H62</f>
        <v>0.23068268018999732</v>
      </c>
      <c r="H11" s="51">
        <f>+'TS Profit'!H62*850</f>
        <v>185.72155863333191</v>
      </c>
      <c r="I11" s="32">
        <f>+'TS Profit'!G62</f>
        <v>9.1768299559999296</v>
      </c>
      <c r="J11" s="52">
        <f>+'TS Profit'!H62</f>
        <v>0.21849595133333166</v>
      </c>
      <c r="K11" s="16"/>
    </row>
    <row r="12" spans="1:11">
      <c r="A12" s="41">
        <f t="shared" ref="A12:A20" si="1">+A11+100</f>
        <v>400</v>
      </c>
      <c r="B12" s="51">
        <f>+'CL Profit'!H63*850</f>
        <v>154.78954252128293</v>
      </c>
      <c r="C12" s="32">
        <f>+'CL Profit'!G63</f>
        <v>7.6484244539928046</v>
      </c>
      <c r="D12" s="52">
        <f>+'CL Profit'!H63</f>
        <v>0.18210534414268581</v>
      </c>
      <c r="E12" s="51">
        <f>+'VA Profit'!H63*850</f>
        <v>155.07526818308909</v>
      </c>
      <c r="F12" s="32">
        <f>+'VA Profit'!G63</f>
        <v>7.6625426631644027</v>
      </c>
      <c r="G12" s="52">
        <f>+'VA Profit'!H63</f>
        <v>0.18244149198010481</v>
      </c>
      <c r="H12" s="51">
        <f>+'TS Profit'!H63*850</f>
        <v>147.30622853696477</v>
      </c>
      <c r="I12" s="32">
        <f>+'TS Profit'!G63</f>
        <v>7.2786607041794351</v>
      </c>
      <c r="J12" s="52">
        <f>+'TS Profit'!H63</f>
        <v>0.17330144533760561</v>
      </c>
      <c r="K12" s="16"/>
    </row>
    <row r="13" spans="1:11">
      <c r="A13" s="41">
        <f t="shared" si="1"/>
        <v>500</v>
      </c>
      <c r="B13" s="912">
        <f>+'CL Profit'!H64*850</f>
        <v>130.243681666599</v>
      </c>
      <c r="C13" s="913">
        <f>+'CL Profit'!G64</f>
        <v>6.4355701529378333</v>
      </c>
      <c r="D13" s="914">
        <f>+'CL Profit'!H64</f>
        <v>0.15322786078423412</v>
      </c>
      <c r="E13" s="51">
        <f>+'VA Profit'!H64*850</f>
        <v>130.47226219604394</v>
      </c>
      <c r="F13" s="32">
        <f>+'VA Profit'!G64</f>
        <v>6.4468647202751121</v>
      </c>
      <c r="G13" s="52">
        <f>+'VA Profit'!H64</f>
        <v>0.15349677905416934</v>
      </c>
      <c r="H13" s="51">
        <f>+'TS Profit'!H64*850</f>
        <v>124.25703047914445</v>
      </c>
      <c r="I13" s="32">
        <f>+'TS Profit'!G64</f>
        <v>6.1397591530871374</v>
      </c>
      <c r="J13" s="52">
        <f>+'TS Profit'!H64</f>
        <v>0.14618474174016993</v>
      </c>
      <c r="K13" s="16"/>
    </row>
    <row r="14" spans="1:11">
      <c r="A14" s="50">
        <f t="shared" si="1"/>
        <v>600</v>
      </c>
      <c r="B14" s="458">
        <f>+'CL Profit'!H65*850</f>
        <v>113.87977443014304</v>
      </c>
      <c r="C14" s="459">
        <f>+'CL Profit'!G65</f>
        <v>5.6270006189011852</v>
      </c>
      <c r="D14" s="460">
        <f>+'CL Profit'!H65</f>
        <v>0.13397620521193299</v>
      </c>
      <c r="E14" s="470">
        <f>+'VA Profit'!H65*850</f>
        <v>114.0702582046805</v>
      </c>
      <c r="F14" s="471">
        <f>+'VA Profit'!G65</f>
        <v>5.6364127583489188</v>
      </c>
      <c r="G14" s="472">
        <f>+'VA Profit'!H65</f>
        <v>0.13420030377021236</v>
      </c>
      <c r="H14" s="458">
        <f>+'TS Profit'!H65*850</f>
        <v>108.89089844059758</v>
      </c>
      <c r="I14" s="459">
        <f>+'TS Profit'!G65</f>
        <v>5.3804914523589389</v>
      </c>
      <c r="J14" s="460">
        <f>+'TS Profit'!H65</f>
        <v>0.1281069393418795</v>
      </c>
      <c r="K14" s="16"/>
    </row>
    <row r="15" spans="1:11">
      <c r="A15" s="41">
        <f t="shared" si="1"/>
        <v>700</v>
      </c>
      <c r="B15" s="51">
        <f>+'CL Profit'!H66*850</f>
        <v>102.19126926124594</v>
      </c>
      <c r="C15" s="32">
        <f>+'CL Profit'!G66</f>
        <v>5.049450951732152</v>
      </c>
      <c r="D15" s="52">
        <f>+'CL Profit'!H66</f>
        <v>0.12022502266028934</v>
      </c>
      <c r="E15" s="51">
        <f>+'VA Profit'!H66*850</f>
        <v>102.35454106799232</v>
      </c>
      <c r="F15" s="32">
        <f>+'VA Profit'!G66</f>
        <v>5.0575184998302083</v>
      </c>
      <c r="G15" s="52">
        <f>+'VA Profit'!H66</f>
        <v>0.12041710713881448</v>
      </c>
      <c r="H15" s="912">
        <f>+'TS Profit'!H66*850</f>
        <v>97.915089841635535</v>
      </c>
      <c r="I15" s="913">
        <f>+'TS Profit'!G66</f>
        <v>4.8381573804102267</v>
      </c>
      <c r="J15" s="914">
        <f>+'TS Profit'!H66</f>
        <v>0.11519422334310063</v>
      </c>
      <c r="K15" s="16"/>
    </row>
    <row r="16" spans="1:11">
      <c r="A16" s="41">
        <f t="shared" si="1"/>
        <v>800</v>
      </c>
      <c r="B16" s="51">
        <f>+'CL Profit'!H67*850</f>
        <v>93.424890384573089</v>
      </c>
      <c r="C16" s="32">
        <f>+'CL Profit'!G67</f>
        <v>4.6162887013553764</v>
      </c>
      <c r="D16" s="52">
        <f>+'CL Profit'!H67</f>
        <v>0.10991163574655657</v>
      </c>
      <c r="E16" s="51">
        <f>+'VA Profit'!H67*850</f>
        <v>93.567753215476174</v>
      </c>
      <c r="F16" s="32">
        <f>+'VA Profit'!G67</f>
        <v>4.6233478059411759</v>
      </c>
      <c r="G16" s="52">
        <f>+'VA Profit'!H67</f>
        <v>0.11007970966526609</v>
      </c>
      <c r="H16" s="51">
        <f>+'TS Profit'!H67*850</f>
        <v>89.68323339241401</v>
      </c>
      <c r="I16" s="32">
        <f>+'TS Profit'!G67</f>
        <v>4.4314068264486925</v>
      </c>
      <c r="J16" s="52">
        <f>+'TS Profit'!H67</f>
        <v>0.10550968634401649</v>
      </c>
      <c r="K16" s="16"/>
    </row>
    <row r="17" spans="1:11">
      <c r="A17" s="41">
        <f t="shared" si="1"/>
        <v>900</v>
      </c>
      <c r="B17" s="51">
        <f>+'CL Profit'!H68*850</f>
        <v>86.606595702716447</v>
      </c>
      <c r="C17" s="32">
        <f>+'CL Profit'!G68</f>
        <v>4.2793847288401068</v>
      </c>
      <c r="D17" s="52">
        <f>+'CL Profit'!H68</f>
        <v>0.10189011259143112</v>
      </c>
      <c r="E17" s="51">
        <f>+'VA Profit'!H68*850</f>
        <v>86.733584885741422</v>
      </c>
      <c r="F17" s="32">
        <f>+'VA Profit'!G68</f>
        <v>4.2856594884719286</v>
      </c>
      <c r="G17" s="52">
        <f>+'VA Profit'!H68</f>
        <v>0.10203951163028402</v>
      </c>
      <c r="H17" s="51">
        <f>+'TS Profit'!H68*850</f>
        <v>83.280678376352824</v>
      </c>
      <c r="I17" s="32">
        <f>+'TS Profit'!G68</f>
        <v>4.1150452844786098</v>
      </c>
      <c r="J17" s="52">
        <f>+'TS Profit'!H68</f>
        <v>9.797726867806214E-2</v>
      </c>
      <c r="K17" s="16"/>
    </row>
    <row r="18" spans="1:11">
      <c r="A18" s="41">
        <f t="shared" si="1"/>
        <v>1000</v>
      </c>
      <c r="B18" s="51">
        <f>+'CL Profit'!H69*850</f>
        <v>81.151959957231114</v>
      </c>
      <c r="C18" s="32">
        <f>+'CL Profit'!G69</f>
        <v>4.0098615508278908</v>
      </c>
      <c r="D18" s="52">
        <f>+'CL Profit'!H69</f>
        <v>9.5472894067330727E-2</v>
      </c>
      <c r="E18" s="51">
        <f>+'VA Profit'!H69*850</f>
        <v>81.266250221953612</v>
      </c>
      <c r="F18" s="32">
        <f>+'VA Profit'!G69</f>
        <v>4.0155088344965311</v>
      </c>
      <c r="G18" s="52">
        <f>+'VA Profit'!H69</f>
        <v>9.5607353202298365E-2</v>
      </c>
      <c r="H18" s="51">
        <f>+'TS Profit'!H69*850</f>
        <v>78.15863436350385</v>
      </c>
      <c r="I18" s="32">
        <f>+'TS Profit'!G69</f>
        <v>3.8619560509025432</v>
      </c>
      <c r="J18" s="52">
        <f>+'TS Profit'!H69</f>
        <v>9.1951334545298649E-2</v>
      </c>
      <c r="K18" s="16"/>
    </row>
    <row r="19" spans="1:11">
      <c r="A19" s="41">
        <f t="shared" si="1"/>
        <v>1100</v>
      </c>
      <c r="B19" s="51">
        <f>+'CL Profit'!H70*850</f>
        <v>76.689076165470411</v>
      </c>
      <c r="C19" s="32">
        <f>+'CL Profit'!G70</f>
        <v>3.7893425869997142</v>
      </c>
      <c r="D19" s="52">
        <f>+'CL Profit'!H70</f>
        <v>9.0222442547612247E-2</v>
      </c>
      <c r="E19" s="51">
        <f>+'VA Profit'!H70*850</f>
        <v>76.792976406127195</v>
      </c>
      <c r="F19" s="32">
        <f>+'VA Profit'!G70</f>
        <v>3.7944764812439322</v>
      </c>
      <c r="G19" s="52">
        <f>+'VA Profit'!H70</f>
        <v>9.0344678124855526E-2</v>
      </c>
      <c r="H19" s="51">
        <f>+'TS Profit'!H70*850</f>
        <v>73.967871080263791</v>
      </c>
      <c r="I19" s="32">
        <f>+'TS Profit'!G70</f>
        <v>3.6548830416130342</v>
      </c>
      <c r="J19" s="52">
        <f>+'TS Profit'!H70</f>
        <v>8.7021024800310334E-2</v>
      </c>
      <c r="K19" s="16"/>
    </row>
    <row r="20" spans="1:11">
      <c r="A20" s="41">
        <f t="shared" si="1"/>
        <v>1200</v>
      </c>
      <c r="B20" s="51">
        <f>+'CL Profit'!H71*850</f>
        <v>72.970006339003135</v>
      </c>
      <c r="C20" s="32">
        <f>+'CL Profit'!G71</f>
        <v>3.6055767838095667</v>
      </c>
      <c r="D20" s="52">
        <f>+'CL Profit'!H71</f>
        <v>8.5847066281180162E-2</v>
      </c>
      <c r="E20" s="51">
        <f>+'VA Profit'!H71*850</f>
        <v>73.065248226271876</v>
      </c>
      <c r="F20" s="32">
        <f>+'VA Profit'!G71</f>
        <v>3.6102828535334335</v>
      </c>
      <c r="G20" s="52">
        <f>+'VA Profit'!H71</f>
        <v>8.5959115560319849E-2</v>
      </c>
      <c r="H20" s="51">
        <f>+'TS Profit'!H71*850</f>
        <v>70.475568344230425</v>
      </c>
      <c r="I20" s="32">
        <f>+'TS Profit'!G71</f>
        <v>3.482322200538444</v>
      </c>
      <c r="J20" s="52">
        <f>+'TS Profit'!H71</f>
        <v>8.2912433346153433E-2</v>
      </c>
      <c r="K20" s="16"/>
    </row>
    <row r="21" spans="1:11">
      <c r="A21" s="41">
        <f>+A20+100</f>
        <v>1300</v>
      </c>
      <c r="B21" s="51">
        <f>+'CL Profit'!H72*850</f>
        <v>69.823101101223159</v>
      </c>
      <c r="C21" s="32">
        <f>+'CL Profit'!G72</f>
        <v>3.4500826426486735</v>
      </c>
      <c r="D21" s="52">
        <f>+'CL Profit'!H72</f>
        <v>8.2144824824968418E-2</v>
      </c>
      <c r="E21" s="51">
        <f>+'VA Profit'!H72*850</f>
        <v>69.911016689471211</v>
      </c>
      <c r="F21" s="32">
        <f>+'VA Profit'!G72</f>
        <v>3.4544267070091657</v>
      </c>
      <c r="G21" s="52">
        <f>+'VA Profit'!H72</f>
        <v>8.2248254928789663E-2</v>
      </c>
      <c r="H21" s="51">
        <f>+'TS Profit'!H72*850</f>
        <v>67.520542952202177</v>
      </c>
      <c r="I21" s="32">
        <f>+'TS Profit'!G72</f>
        <v>3.3363091811676369</v>
      </c>
      <c r="J21" s="52">
        <f>+'TS Profit'!H72</f>
        <v>7.943593288494373E-2</v>
      </c>
      <c r="K21" s="16"/>
    </row>
    <row r="22" spans="1:11">
      <c r="A22" s="41">
        <f>+A21+100</f>
        <v>1400</v>
      </c>
      <c r="B22" s="51">
        <f>+'CL Profit'!H73*850</f>
        <v>67.125753754554594</v>
      </c>
      <c r="C22" s="32">
        <f>+'CL Profit'!G73</f>
        <v>3.3168019502250505</v>
      </c>
      <c r="D22" s="52">
        <f>+'CL Profit'!H73</f>
        <v>7.8971475005358352E-2</v>
      </c>
      <c r="E22" s="51">
        <f>+'VA Profit'!H73*850</f>
        <v>67.207389657927791</v>
      </c>
      <c r="F22" s="32">
        <f>+'VA Profit'!G73</f>
        <v>3.3208357242740787</v>
      </c>
      <c r="G22" s="52">
        <f>+'VA Profit'!H73</f>
        <v>7.9067517244620925E-2</v>
      </c>
      <c r="H22" s="51">
        <f>+'TS Profit'!H73*850</f>
        <v>64.987664044749394</v>
      </c>
      <c r="I22" s="32">
        <f>+'TS Profit'!G73</f>
        <v>3.2111551645640879</v>
      </c>
      <c r="J22" s="52">
        <f>+'TS Profit'!H73</f>
        <v>7.6456075346763991E-2</v>
      </c>
      <c r="K22" s="16"/>
    </row>
    <row r="23" spans="1:11">
      <c r="A23" s="64">
        <f>+A22+100</f>
        <v>1500</v>
      </c>
      <c r="B23" s="53">
        <f>+'CL Profit'!H74*850</f>
        <v>64.78805272077517</v>
      </c>
      <c r="C23" s="15">
        <f>+'CL Profit'!G74</f>
        <v>3.2012920167912435</v>
      </c>
      <c r="D23" s="54">
        <f>+'CL Profit'!H74</f>
        <v>7.6221238495029611E-2</v>
      </c>
      <c r="E23" s="53">
        <f>+'VA Profit'!H74*850</f>
        <v>64.86424623059014</v>
      </c>
      <c r="F23" s="15">
        <f>+'VA Profit'!G74</f>
        <v>3.2050568725703368</v>
      </c>
      <c r="G23" s="54">
        <f>+'VA Profit'!H74</f>
        <v>7.6310877918341347E-2</v>
      </c>
      <c r="H23" s="53">
        <f>+'TS Profit'!H74*850</f>
        <v>62.792502324956985</v>
      </c>
      <c r="I23" s="15">
        <f>+'TS Profit'!G74</f>
        <v>3.1026883501743452</v>
      </c>
      <c r="J23" s="54">
        <f>+'TS Profit'!H74</f>
        <v>7.3873532147008217E-2</v>
      </c>
      <c r="K23" s="16"/>
    </row>
    <row r="24" spans="1:11" ht="15">
      <c r="A24" s="461" t="s">
        <v>19</v>
      </c>
      <c r="B24" s="32"/>
      <c r="C24" s="32"/>
      <c r="D24" s="32"/>
      <c r="E24" s="457">
        <f>+D13</f>
        <v>0.15322786078423412</v>
      </c>
      <c r="F24" s="32"/>
      <c r="G24" s="32"/>
      <c r="H24" s="32"/>
      <c r="I24" s="32"/>
      <c r="J24" s="32"/>
      <c r="K24" s="16"/>
    </row>
    <row r="25" spans="1:11" ht="15">
      <c r="A25" s="461" t="s">
        <v>20</v>
      </c>
      <c r="B25" s="32"/>
      <c r="C25" s="32"/>
      <c r="D25" s="32"/>
      <c r="E25" s="457">
        <f>+G14</f>
        <v>0.13420030377021236</v>
      </c>
      <c r="F25" s="32"/>
      <c r="G25" s="32"/>
      <c r="H25" s="32"/>
      <c r="I25" s="32"/>
      <c r="J25" s="32"/>
      <c r="K25" s="16"/>
    </row>
    <row r="26" spans="1:11" ht="15">
      <c r="A26" s="461" t="s">
        <v>338</v>
      </c>
      <c r="B26" s="32"/>
      <c r="C26" s="32"/>
      <c r="D26" s="32"/>
      <c r="E26" s="457">
        <f>+J15</f>
        <v>0.11519422334310063</v>
      </c>
      <c r="F26" s="32"/>
      <c r="G26" s="32"/>
      <c r="H26" s="32"/>
      <c r="I26" s="32"/>
      <c r="J26" s="32"/>
      <c r="K26" s="16"/>
    </row>
    <row r="28" spans="1:11" ht="20.25">
      <c r="A28" s="6" t="s">
        <v>42</v>
      </c>
      <c r="B28" s="6"/>
      <c r="C28" s="6"/>
      <c r="D28" s="6">
        <f>+Price</f>
        <v>0.2</v>
      </c>
      <c r="F28" s="6" t="s">
        <v>43</v>
      </c>
      <c r="G28" s="6"/>
      <c r="H28" s="6"/>
      <c r="J28" s="94">
        <f>+LaborNoSkill</f>
        <v>9</v>
      </c>
    </row>
  </sheetData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1"/>
  <sheetViews>
    <sheetView workbookViewId="0">
      <selection activeCell="C9" sqref="C9"/>
    </sheetView>
  </sheetViews>
  <sheetFormatPr defaultRowHeight="12.75"/>
  <sheetData>
    <row r="1" spans="1:11">
      <c r="A1" s="1188" t="s">
        <v>701</v>
      </c>
      <c r="B1" s="328"/>
      <c r="C1" s="328"/>
      <c r="D1" s="328" t="str">
        <f>+D4&amp;" "&amp;D3</f>
        <v>2008 % of Total Material Costs</v>
      </c>
      <c r="E1" s="328"/>
      <c r="F1" s="341"/>
    </row>
    <row r="2" spans="1:11">
      <c r="A2" s="1064"/>
      <c r="B2" s="338"/>
      <c r="C2" s="338"/>
      <c r="D2" s="338" t="str">
        <f>+E4&amp;" "&amp;D3</f>
        <v>1998 % of Total Material Costs</v>
      </c>
      <c r="E2" s="16"/>
      <c r="F2" s="1065"/>
    </row>
    <row r="3" spans="1:11">
      <c r="A3" s="1229"/>
      <c r="B3" s="1230"/>
      <c r="C3" s="1073"/>
      <c r="D3" s="1361" t="s">
        <v>661</v>
      </c>
      <c r="E3" s="1358"/>
      <c r="F3" s="1359"/>
      <c r="H3" s="462"/>
      <c r="I3" s="462"/>
      <c r="J3" s="462"/>
      <c r="K3" s="462"/>
    </row>
    <row r="4" spans="1:11">
      <c r="A4" s="1169" t="s">
        <v>655</v>
      </c>
      <c r="B4" s="1075"/>
      <c r="C4" s="1224">
        <v>2008</v>
      </c>
      <c r="D4" s="547">
        <v>2008</v>
      </c>
      <c r="E4" s="547">
        <v>1998</v>
      </c>
      <c r="F4" s="395">
        <v>1998</v>
      </c>
    </row>
    <row r="5" spans="1:11">
      <c r="A5" s="496" t="s">
        <v>657</v>
      </c>
      <c r="B5" s="341"/>
      <c r="C5" s="1225">
        <f>+'Spray Program'!M62</f>
        <v>467.41484374999999</v>
      </c>
      <c r="D5" s="1222">
        <f>+'Spray Program'!M63</f>
        <v>45.296104715420213</v>
      </c>
      <c r="E5" s="1222">
        <f t="shared" ref="E5:E10" si="0">+F5/F$10*100</f>
        <v>43.687953770929035</v>
      </c>
      <c r="F5" s="1223">
        <v>294.85000000000002</v>
      </c>
      <c r="G5" s="24"/>
      <c r="H5" s="24"/>
      <c r="I5" s="24"/>
      <c r="J5" s="24"/>
      <c r="K5" s="24"/>
    </row>
    <row r="6" spans="1:11">
      <c r="A6" s="489" t="s">
        <v>656</v>
      </c>
      <c r="B6" s="1056"/>
      <c r="C6" s="1226">
        <f>+'Spray Program'!N62</f>
        <v>425.19353273809514</v>
      </c>
      <c r="D6" s="505">
        <f>+'Spray Program'!N63</f>
        <v>41.204533918322333</v>
      </c>
      <c r="E6" s="505">
        <f t="shared" si="0"/>
        <v>38.379759964439174</v>
      </c>
      <c r="F6" s="1066">
        <v>259.02499999999998</v>
      </c>
    </row>
    <row r="7" spans="1:11">
      <c r="A7" s="489" t="s">
        <v>660</v>
      </c>
      <c r="B7" s="1056"/>
      <c r="C7" s="1226">
        <f>+'Spray Program'!O62</f>
        <v>89.824250000000006</v>
      </c>
      <c r="D7" s="505">
        <f>+'Spray Program'!O63</f>
        <v>8.7046628672328801</v>
      </c>
      <c r="E7" s="505">
        <f t="shared" si="0"/>
        <v>6.8899096162394429</v>
      </c>
      <c r="F7" s="1066">
        <v>46.5</v>
      </c>
    </row>
    <row r="8" spans="1:11">
      <c r="A8" s="489" t="s">
        <v>658</v>
      </c>
      <c r="B8" s="1056"/>
      <c r="C8" s="1226">
        <f>+'Spray Program'!P62</f>
        <v>29.651953124999999</v>
      </c>
      <c r="D8" s="505">
        <f>+'Spray Program'!P63</f>
        <v>2.8735030385237557</v>
      </c>
      <c r="E8" s="505">
        <f t="shared" si="0"/>
        <v>6.3898355311898065</v>
      </c>
      <c r="F8" s="1066">
        <v>43.125</v>
      </c>
    </row>
    <row r="9" spans="1:11">
      <c r="A9" s="393" t="s">
        <v>659</v>
      </c>
      <c r="B9" s="394"/>
      <c r="C9" s="1227">
        <f>+'Spray Program'!Q62</f>
        <v>19.824999999999999</v>
      </c>
      <c r="D9" s="1067">
        <f>+'Spray Program'!Q63</f>
        <v>1.9211954605008317</v>
      </c>
      <c r="E9" s="1067">
        <f t="shared" si="0"/>
        <v>4.6525411172025484</v>
      </c>
      <c r="F9" s="1068">
        <v>31.4</v>
      </c>
    </row>
    <row r="10" spans="1:11">
      <c r="A10" s="1190"/>
      <c r="B10" s="1190" t="s">
        <v>49</v>
      </c>
      <c r="C10" s="1228">
        <f>SUM(C5:C9)</f>
        <v>1031.909579613095</v>
      </c>
      <c r="D10" s="467">
        <f>SUM(D5:D9)</f>
        <v>100</v>
      </c>
      <c r="E10" s="467">
        <f t="shared" si="0"/>
        <v>100</v>
      </c>
      <c r="F10" s="467">
        <v>674.9</v>
      </c>
      <c r="G10" s="462"/>
    </row>
    <row r="11" spans="1:11">
      <c r="A11" s="487"/>
      <c r="B11" s="339"/>
      <c r="C11" s="339"/>
      <c r="D11" s="339"/>
      <c r="E11" s="339"/>
      <c r="F11" s="1069"/>
    </row>
    <row r="12" spans="1:11">
      <c r="A12" s="489"/>
      <c r="B12" s="100" t="s">
        <v>656</v>
      </c>
      <c r="C12" s="505">
        <f>+'Spray Program'!N62</f>
        <v>425.19353273809514</v>
      </c>
      <c r="D12" s="100"/>
      <c r="E12" s="100"/>
      <c r="F12" s="1056"/>
    </row>
    <row r="13" spans="1:11">
      <c r="A13" s="489"/>
      <c r="B13" s="100" t="s">
        <v>657</v>
      </c>
      <c r="C13" s="505">
        <f>+'Spray Program'!M62</f>
        <v>467.41484374999999</v>
      </c>
      <c r="D13" s="100"/>
      <c r="E13" s="100"/>
      <c r="F13" s="1056"/>
    </row>
    <row r="14" spans="1:11">
      <c r="A14" s="489"/>
      <c r="B14" s="100" t="s">
        <v>658</v>
      </c>
      <c r="C14" s="505">
        <f>+'Spray Program'!P62</f>
        <v>29.651953124999999</v>
      </c>
      <c r="D14" s="100"/>
      <c r="E14" s="100"/>
      <c r="F14" s="1056"/>
    </row>
    <row r="15" spans="1:11">
      <c r="A15" s="489"/>
      <c r="B15" s="100" t="s">
        <v>659</v>
      </c>
      <c r="C15" s="505">
        <f>+'Spray Program'!Q62</f>
        <v>19.824999999999999</v>
      </c>
      <c r="D15" s="100"/>
      <c r="E15" s="100"/>
      <c r="F15" s="1056"/>
    </row>
    <row r="16" spans="1:11">
      <c r="A16" s="393"/>
      <c r="B16" s="334" t="s">
        <v>660</v>
      </c>
      <c r="C16" s="1060">
        <f>+'Spray Program'!O62</f>
        <v>89.824250000000006</v>
      </c>
      <c r="D16" s="334"/>
      <c r="E16" s="334"/>
      <c r="F16" s="394"/>
    </row>
    <row r="56" spans="1:10" ht="18">
      <c r="A56" s="469" t="s">
        <v>700</v>
      </c>
      <c r="B56" s="58"/>
      <c r="C56" s="58"/>
      <c r="D56" s="58"/>
      <c r="E56" s="58"/>
      <c r="F56" s="58"/>
      <c r="G56" s="58"/>
      <c r="H56" s="58"/>
      <c r="I56" s="58"/>
      <c r="J56" s="59"/>
    </row>
    <row r="57" spans="1:10">
      <c r="A57" s="384">
        <v>2008</v>
      </c>
      <c r="B57" s="547" t="s">
        <v>708</v>
      </c>
      <c r="C57" s="547" t="s">
        <v>709</v>
      </c>
      <c r="D57" s="547" t="s">
        <v>710</v>
      </c>
      <c r="E57" s="1189">
        <v>1998</v>
      </c>
      <c r="F57" s="1189">
        <v>2008</v>
      </c>
      <c r="G57" s="1189">
        <v>1998</v>
      </c>
      <c r="H57" s="395" t="str">
        <f>+B57</f>
        <v>C Leader</v>
      </c>
      <c r="I57" s="395" t="str">
        <f>+C57</f>
        <v>V Axe</v>
      </c>
      <c r="J57" s="547" t="s">
        <v>692</v>
      </c>
    </row>
    <row r="58" spans="1:10">
      <c r="A58" s="487" t="s">
        <v>665</v>
      </c>
      <c r="B58" s="1202">
        <f>+'CL Profit'!E14</f>
        <v>1029.6994166666668</v>
      </c>
      <c r="C58" s="1202">
        <f>+'VA Profit'!E12</f>
        <v>1188.1147115384615</v>
      </c>
      <c r="D58" s="1203">
        <f>+'TS Profit'!E10</f>
        <v>1584.1529487179489</v>
      </c>
      <c r="E58" s="1194">
        <f t="shared" ref="E58:E63" si="1">+I58</f>
        <v>1111</v>
      </c>
      <c r="F58" s="1195">
        <f t="shared" ref="F58:F63" si="2">+C58</f>
        <v>1188.1147115384615</v>
      </c>
      <c r="G58" s="487" t="str">
        <f t="shared" ref="G58:G63" si="3">+A58</f>
        <v>Harv Labor</v>
      </c>
      <c r="H58" s="545">
        <v>903</v>
      </c>
      <c r="I58" s="545">
        <v>1111</v>
      </c>
      <c r="J58" s="989">
        <v>1389</v>
      </c>
    </row>
    <row r="59" spans="1:10">
      <c r="A59" s="1057" t="s">
        <v>667</v>
      </c>
      <c r="B59" s="532">
        <f>+'Central Leader'!D280</f>
        <v>431.20882352941169</v>
      </c>
      <c r="C59" s="532">
        <f>+'Vertical Axe'!D218</f>
        <v>463.46596638655467</v>
      </c>
      <c r="D59" s="1196">
        <f>+'Tall Spindle'!D157</f>
        <v>468.53382352941173</v>
      </c>
      <c r="E59" s="1197">
        <f t="shared" si="1"/>
        <v>410</v>
      </c>
      <c r="F59" s="985">
        <f t="shared" si="2"/>
        <v>463.46596638655467</v>
      </c>
      <c r="G59" s="489" t="str">
        <f t="shared" si="3"/>
        <v>Non-Harvest Labor</v>
      </c>
      <c r="H59" s="532">
        <v>348</v>
      </c>
      <c r="I59" s="532">
        <v>410</v>
      </c>
      <c r="J59" s="974">
        <v>463</v>
      </c>
    </row>
    <row r="60" spans="1:10">
      <c r="A60" s="1057" t="s">
        <v>662</v>
      </c>
      <c r="B60" s="532">
        <f>+'Central Leader'!F280</f>
        <v>349.25582376283847</v>
      </c>
      <c r="C60" s="532">
        <f>+'Vertical Axe'!F218</f>
        <v>442.89106140456192</v>
      </c>
      <c r="D60" s="1196">
        <f>+'Tall Spindle'!F157</f>
        <v>445.00964796918777</v>
      </c>
      <c r="E60" s="1197">
        <f t="shared" si="1"/>
        <v>334</v>
      </c>
      <c r="F60" s="985">
        <f t="shared" si="2"/>
        <v>442.89106140456192</v>
      </c>
      <c r="G60" s="489" t="str">
        <f t="shared" si="3"/>
        <v>Machinery</v>
      </c>
      <c r="H60" s="532">
        <v>213</v>
      </c>
      <c r="I60" s="532">
        <v>334</v>
      </c>
      <c r="J60" s="974">
        <v>342</v>
      </c>
    </row>
    <row r="61" spans="1:10">
      <c r="A61" s="489" t="str">
        <f>+A4</f>
        <v>Pesticides</v>
      </c>
      <c r="B61" s="532">
        <f>+C10</f>
        <v>1031.909579613095</v>
      </c>
      <c r="C61" s="532">
        <f>+B61*VATRV*0.01</f>
        <v>825.52766369047606</v>
      </c>
      <c r="D61" s="1196">
        <f>+B61*TSTRV*0.01</f>
        <v>619.14574776785707</v>
      </c>
      <c r="E61" s="1197">
        <f t="shared" si="1"/>
        <v>474</v>
      </c>
      <c r="F61" s="985">
        <f t="shared" si="2"/>
        <v>825.52766369047606</v>
      </c>
      <c r="G61" s="489" t="str">
        <f t="shared" si="3"/>
        <v>Pesticides</v>
      </c>
      <c r="H61" s="532">
        <v>632</v>
      </c>
      <c r="I61" s="532">
        <v>474</v>
      </c>
      <c r="J61" s="974">
        <v>316</v>
      </c>
    </row>
    <row r="62" spans="1:10">
      <c r="A62" s="1064" t="s">
        <v>670</v>
      </c>
      <c r="B62" s="995">
        <f>+B58+B59</f>
        <v>1460.9082401960786</v>
      </c>
      <c r="C62" s="995">
        <f>+C58+C59</f>
        <v>1651.5806779250161</v>
      </c>
      <c r="D62" s="1198">
        <f>+D58+D59</f>
        <v>2052.6867722473608</v>
      </c>
      <c r="E62" s="1199">
        <f t="shared" si="1"/>
        <v>1521</v>
      </c>
      <c r="F62" s="993">
        <f t="shared" si="2"/>
        <v>1651.5806779250161</v>
      </c>
      <c r="G62" s="1064" t="str">
        <f t="shared" si="3"/>
        <v>Tot Labor</v>
      </c>
      <c r="H62" s="995">
        <f>+H58+H59</f>
        <v>1251</v>
      </c>
      <c r="I62" s="995">
        <f>+I58+I59</f>
        <v>1521</v>
      </c>
      <c r="J62" s="996">
        <f>+J58+J59</f>
        <v>1852</v>
      </c>
    </row>
    <row r="63" spans="1:10">
      <c r="A63" s="1191" t="s">
        <v>49</v>
      </c>
      <c r="B63" s="1177">
        <f>+'CL Profit'!G14</f>
        <v>3462.5367070458396</v>
      </c>
      <c r="C63" s="1177">
        <f>+'VA Profit'!G12</f>
        <v>3621.8468267401195</v>
      </c>
      <c r="D63" s="1200">
        <f>+'TS Profit'!G10</f>
        <v>3885.7183451333126</v>
      </c>
      <c r="E63" s="1201">
        <f t="shared" si="1"/>
        <v>2847</v>
      </c>
      <c r="F63" s="990">
        <f t="shared" si="2"/>
        <v>3621.8468267401195</v>
      </c>
      <c r="G63" s="1169" t="str">
        <f t="shared" si="3"/>
        <v>Total</v>
      </c>
      <c r="H63" s="1177">
        <v>2782</v>
      </c>
      <c r="I63" s="1177">
        <v>2847</v>
      </c>
      <c r="J63" s="1178">
        <v>2783</v>
      </c>
    </row>
    <row r="64" spans="1:10">
      <c r="A64" s="1172" t="s">
        <v>703</v>
      </c>
      <c r="B64" s="1073"/>
      <c r="C64" s="1073"/>
      <c r="D64" s="1192"/>
      <c r="E64" s="1201"/>
      <c r="F64" s="990"/>
      <c r="G64" s="1169"/>
      <c r="H64" s="1074"/>
      <c r="I64" s="1074"/>
      <c r="J64" s="1175"/>
    </row>
    <row r="65" spans="1:10">
      <c r="A65" s="384">
        <v>2008</v>
      </c>
      <c r="B65" s="547" t="str">
        <f>+B57</f>
        <v>C Leader</v>
      </c>
      <c r="C65" s="547" t="str">
        <f>+C57</f>
        <v>V Axe</v>
      </c>
      <c r="D65" s="547" t="str">
        <f>+D57</f>
        <v>T Spindle</v>
      </c>
      <c r="E65" s="1189">
        <v>1998</v>
      </c>
      <c r="F65" s="1189">
        <v>2008</v>
      </c>
      <c r="G65" s="1189">
        <v>1998</v>
      </c>
      <c r="H65" s="395" t="str">
        <f>+B65</f>
        <v>C Leader</v>
      </c>
      <c r="I65" s="395" t="str">
        <f>+C65</f>
        <v>V Axe</v>
      </c>
      <c r="J65" s="547" t="s">
        <v>692</v>
      </c>
    </row>
    <row r="66" spans="1:10">
      <c r="A66" s="487" t="s">
        <v>666</v>
      </c>
      <c r="B66" s="545">
        <f>(+B58+B59)/B63*100</f>
        <v>42.191848456748737</v>
      </c>
      <c r="C66" s="545">
        <f>(+C58+C59)/C63*100</f>
        <v>45.600511477497747</v>
      </c>
      <c r="D66" s="1193">
        <f>(+D58+D59)/D63*100</f>
        <v>52.826442627223834</v>
      </c>
      <c r="E66" s="1194">
        <f>+I66</f>
        <v>53.424657534246577</v>
      </c>
      <c r="F66" s="1195">
        <f>+C66</f>
        <v>45.600511477497747</v>
      </c>
      <c r="G66" s="487" t="str">
        <f>+A66</f>
        <v>Total Labor</v>
      </c>
      <c r="H66" s="545">
        <f>(+H58+H59)/H$63*100</f>
        <v>44.967649173256653</v>
      </c>
      <c r="I66" s="545">
        <f>(+I58+I59)/I$63*100</f>
        <v>53.424657534246577</v>
      </c>
      <c r="J66" s="989">
        <f>(+J58+J59)/J$63*100</f>
        <v>66.546891843334535</v>
      </c>
    </row>
    <row r="67" spans="1:10">
      <c r="A67" s="1058" t="str">
        <f>+A59</f>
        <v>Non-Harvest Labor</v>
      </c>
      <c r="B67" s="532">
        <f t="shared" ref="B67:D69" si="4">+B59/B$63*100</f>
        <v>12.453552410056892</v>
      </c>
      <c r="C67" s="532">
        <f t="shared" si="4"/>
        <v>12.796398869349812</v>
      </c>
      <c r="D67" s="1196">
        <f t="shared" si="4"/>
        <v>12.057843155725099</v>
      </c>
      <c r="E67" s="1197">
        <f>+I67</f>
        <v>14.401123990165084</v>
      </c>
      <c r="F67" s="985">
        <f>+C67</f>
        <v>12.796398869349812</v>
      </c>
      <c r="G67" s="489" t="str">
        <f>+A67</f>
        <v>Non-Harvest Labor</v>
      </c>
      <c r="H67" s="532">
        <f t="shared" ref="H67:J69" si="5">(+H59)/H$63*100</f>
        <v>12.508986340762041</v>
      </c>
      <c r="I67" s="532">
        <f t="shared" si="5"/>
        <v>14.401123990165084</v>
      </c>
      <c r="J67" s="974">
        <f t="shared" si="5"/>
        <v>16.636722960833634</v>
      </c>
    </row>
    <row r="68" spans="1:10">
      <c r="A68" s="489" t="str">
        <f>+A60</f>
        <v>Machinery</v>
      </c>
      <c r="B68" s="532">
        <f t="shared" si="4"/>
        <v>10.086703862291062</v>
      </c>
      <c r="C68" s="532">
        <f t="shared" si="4"/>
        <v>12.228321146402278</v>
      </c>
      <c r="D68" s="1196">
        <f t="shared" si="4"/>
        <v>11.452442211272011</v>
      </c>
      <c r="E68" s="1197">
        <f>+I68</f>
        <v>11.731647348085703</v>
      </c>
      <c r="F68" s="985">
        <f>+C68</f>
        <v>12.228321146402278</v>
      </c>
      <c r="G68" s="489" t="str">
        <f>+A68</f>
        <v>Machinery</v>
      </c>
      <c r="H68" s="532">
        <f t="shared" si="5"/>
        <v>7.6563623292595251</v>
      </c>
      <c r="I68" s="532">
        <f t="shared" si="5"/>
        <v>11.731647348085703</v>
      </c>
      <c r="J68" s="974">
        <f t="shared" si="5"/>
        <v>12.288896873877112</v>
      </c>
    </row>
    <row r="69" spans="1:10">
      <c r="A69" s="1064" t="str">
        <f>+A61</f>
        <v>Pesticides</v>
      </c>
      <c r="B69" s="995">
        <f t="shared" si="4"/>
        <v>29.802126790837626</v>
      </c>
      <c r="C69" s="995">
        <f t="shared" si="4"/>
        <v>22.793003215806912</v>
      </c>
      <c r="D69" s="1198">
        <f t="shared" si="4"/>
        <v>15.933881274315965</v>
      </c>
      <c r="E69" s="1199">
        <f>+I69</f>
        <v>16.649104320337198</v>
      </c>
      <c r="F69" s="993">
        <f>+C69</f>
        <v>22.793003215806912</v>
      </c>
      <c r="G69" s="1064" t="str">
        <f>+A69</f>
        <v>Pesticides</v>
      </c>
      <c r="H69" s="995">
        <f t="shared" si="5"/>
        <v>22.71746944644141</v>
      </c>
      <c r="I69" s="995">
        <f t="shared" si="5"/>
        <v>16.649104320337198</v>
      </c>
      <c r="J69" s="996">
        <f t="shared" si="5"/>
        <v>11.354653251886454</v>
      </c>
    </row>
    <row r="70" spans="1:10">
      <c r="A70" s="1169"/>
      <c r="B70" s="1177">
        <f>SUM(B66:B69)</f>
        <v>94.534231519934309</v>
      </c>
      <c r="C70" s="1177">
        <f>SUM(C66:C69)</f>
        <v>93.418234709056748</v>
      </c>
      <c r="D70" s="1200">
        <f>SUM(D66:D69)</f>
        <v>92.270609268536916</v>
      </c>
      <c r="E70" s="1201">
        <f>SUM(E66:E69)</f>
        <v>96.20653319283457</v>
      </c>
      <c r="F70" s="990">
        <f>SUM(F66:F69)</f>
        <v>93.418234709056748</v>
      </c>
      <c r="G70" s="1169"/>
      <c r="H70" s="1177">
        <f>SUM(H66:H69)</f>
        <v>87.850467289719631</v>
      </c>
      <c r="I70" s="1177">
        <f>SUM(I66:I69)</f>
        <v>96.20653319283457</v>
      </c>
      <c r="J70" s="1178">
        <f>SUM(J66:J69)</f>
        <v>106.82716492993174</v>
      </c>
    </row>
    <row r="71" spans="1:10">
      <c r="A71" s="1172" t="s">
        <v>702</v>
      </c>
      <c r="B71" s="1073"/>
      <c r="C71" s="1073"/>
      <c r="D71" s="1192"/>
      <c r="E71" s="1201"/>
      <c r="F71" s="990"/>
      <c r="G71" s="1169"/>
      <c r="H71" s="1074"/>
      <c r="I71" s="1074"/>
      <c r="J71" s="1175"/>
    </row>
    <row r="72" spans="1:10">
      <c r="A72" s="384">
        <v>2008</v>
      </c>
      <c r="B72" s="547" t="str">
        <f>+B57</f>
        <v>C Leader</v>
      </c>
      <c r="C72" s="547" t="str">
        <f>+C57</f>
        <v>V Axe</v>
      </c>
      <c r="D72" s="547" t="str">
        <f>+D57</f>
        <v>T Spindle</v>
      </c>
      <c r="E72" s="1189">
        <v>1998</v>
      </c>
      <c r="F72" s="1189">
        <v>2008</v>
      </c>
      <c r="G72" s="1189">
        <v>1998</v>
      </c>
      <c r="H72" s="395" t="str">
        <f>+B72</f>
        <v>C Leader</v>
      </c>
      <c r="I72" s="395" t="str">
        <f>+C72</f>
        <v>V Axe</v>
      </c>
      <c r="J72" s="547" t="s">
        <v>692</v>
      </c>
    </row>
    <row r="73" spans="1:10">
      <c r="A73" s="1191" t="s">
        <v>36</v>
      </c>
      <c r="B73" s="1170">
        <f>+'CL Profit'!B14</f>
        <v>650</v>
      </c>
      <c r="C73" s="1170">
        <f>+'VA Profit'!B13</f>
        <v>750</v>
      </c>
      <c r="D73" s="1214">
        <f>+'TS Profit'!B13</f>
        <v>1000</v>
      </c>
      <c r="E73" s="1201">
        <f>+I73</f>
        <v>750</v>
      </c>
      <c r="F73" s="990">
        <f>+C73</f>
        <v>750</v>
      </c>
      <c r="G73" s="1169"/>
      <c r="H73" s="1177">
        <f>+B73</f>
        <v>650</v>
      </c>
      <c r="I73" s="1177">
        <f>+C73</f>
        <v>750</v>
      </c>
      <c r="J73" s="1178">
        <f>+D73</f>
        <v>1000</v>
      </c>
    </row>
    <row r="74" spans="1:10">
      <c r="A74" s="487"/>
      <c r="B74" s="106"/>
      <c r="C74" s="106"/>
      <c r="D74" s="1208"/>
      <c r="E74" s="1194"/>
      <c r="F74" s="1195"/>
      <c r="G74" s="487"/>
      <c r="H74" s="1212"/>
      <c r="I74" s="1212"/>
      <c r="J74" s="1213"/>
    </row>
    <row r="75" spans="1:10">
      <c r="A75" s="489" t="str">
        <f>+A66</f>
        <v>Total Labor</v>
      </c>
      <c r="B75" s="564">
        <f>+B62/B$73</f>
        <v>2.2475511387631979</v>
      </c>
      <c r="C75" s="564">
        <f>+C62/C$73</f>
        <v>2.2021075705666879</v>
      </c>
      <c r="D75" s="1209">
        <f>+D62/D$73</f>
        <v>2.0526867722473607</v>
      </c>
      <c r="E75" s="1204">
        <f>+I75</f>
        <v>2.028</v>
      </c>
      <c r="F75" s="1205">
        <f>+C75</f>
        <v>2.2021075705666879</v>
      </c>
      <c r="G75" s="489" t="str">
        <f>+A75</f>
        <v>Total Labor</v>
      </c>
      <c r="H75" s="564">
        <f>+H62/H$73</f>
        <v>1.9246153846153846</v>
      </c>
      <c r="I75" s="564">
        <f>+I62/I$73</f>
        <v>2.028</v>
      </c>
      <c r="J75" s="567">
        <f>+J62/J$73</f>
        <v>1.8520000000000001</v>
      </c>
    </row>
    <row r="76" spans="1:10">
      <c r="A76" s="489" t="str">
        <f>+A67</f>
        <v>Non-Harvest Labor</v>
      </c>
      <c r="B76" s="564">
        <f t="shared" ref="B76:D78" si="6">+B59/B$73</f>
        <v>0.6633981900452488</v>
      </c>
      <c r="C76" s="564">
        <f t="shared" si="6"/>
        <v>0.6179546218487395</v>
      </c>
      <c r="D76" s="1209">
        <f t="shared" si="6"/>
        <v>0.46853382352941175</v>
      </c>
      <c r="E76" s="1204">
        <f>+I76</f>
        <v>0.54666666666666663</v>
      </c>
      <c r="F76" s="1205">
        <f>+C76</f>
        <v>0.6179546218487395</v>
      </c>
      <c r="G76" s="489" t="str">
        <f>+A76</f>
        <v>Non-Harvest Labor</v>
      </c>
      <c r="H76" s="564">
        <f t="shared" ref="H76:J78" si="7">+H59/H$73</f>
        <v>0.53538461538461535</v>
      </c>
      <c r="I76" s="564">
        <f t="shared" si="7"/>
        <v>0.54666666666666663</v>
      </c>
      <c r="J76" s="567">
        <f t="shared" si="7"/>
        <v>0.46300000000000002</v>
      </c>
    </row>
    <row r="77" spans="1:10">
      <c r="A77" s="489" t="str">
        <f>+A68</f>
        <v>Machinery</v>
      </c>
      <c r="B77" s="564">
        <f t="shared" si="6"/>
        <v>0.5373166519428284</v>
      </c>
      <c r="C77" s="564">
        <f t="shared" si="6"/>
        <v>0.59052141520608259</v>
      </c>
      <c r="D77" s="1209">
        <f t="shared" si="6"/>
        <v>0.44500964796918779</v>
      </c>
      <c r="E77" s="1204">
        <f>+I77</f>
        <v>0.44533333333333336</v>
      </c>
      <c r="F77" s="1205">
        <f>+C77</f>
        <v>0.59052141520608259</v>
      </c>
      <c r="G77" s="489" t="str">
        <f>+A77</f>
        <v>Machinery</v>
      </c>
      <c r="H77" s="564">
        <f t="shared" si="7"/>
        <v>0.32769230769230767</v>
      </c>
      <c r="I77" s="564">
        <f t="shared" si="7"/>
        <v>0.44533333333333336</v>
      </c>
      <c r="J77" s="567">
        <f t="shared" si="7"/>
        <v>0.34200000000000003</v>
      </c>
    </row>
    <row r="78" spans="1:10">
      <c r="A78" s="489" t="str">
        <f>+A69</f>
        <v>Pesticides</v>
      </c>
      <c r="B78" s="564">
        <f t="shared" si="6"/>
        <v>1.5875531994047616</v>
      </c>
      <c r="C78" s="564">
        <f t="shared" si="6"/>
        <v>1.1007035515873014</v>
      </c>
      <c r="D78" s="1209">
        <f t="shared" si="6"/>
        <v>0.61914574776785702</v>
      </c>
      <c r="E78" s="1204">
        <f>+I78</f>
        <v>0.63200000000000001</v>
      </c>
      <c r="F78" s="1205">
        <f>+C78</f>
        <v>1.1007035515873014</v>
      </c>
      <c r="G78" s="489" t="str">
        <f>+A78</f>
        <v>Pesticides</v>
      </c>
      <c r="H78" s="564">
        <f t="shared" si="7"/>
        <v>0.97230769230769232</v>
      </c>
      <c r="I78" s="564">
        <f t="shared" si="7"/>
        <v>0.63200000000000001</v>
      </c>
      <c r="J78" s="567">
        <f t="shared" si="7"/>
        <v>0.316</v>
      </c>
    </row>
    <row r="79" spans="1:10">
      <c r="A79" s="393"/>
      <c r="B79" s="1210">
        <f>SUM(B75:B78)</f>
        <v>5.0358191801560368</v>
      </c>
      <c r="C79" s="1210">
        <f>SUM(C75:C78)</f>
        <v>4.5112871592088117</v>
      </c>
      <c r="D79" s="1211">
        <f>SUM(D75:D78)</f>
        <v>3.5853759915138173</v>
      </c>
      <c r="E79" s="1206">
        <f>SUM(E75:E78)</f>
        <v>3.6519999999999997</v>
      </c>
      <c r="F79" s="1207">
        <f>SUM(F75:F78)</f>
        <v>4.5112871592088117</v>
      </c>
      <c r="G79" s="393"/>
      <c r="H79" s="1210">
        <f>SUM(H75:H78)</f>
        <v>3.76</v>
      </c>
      <c r="I79" s="1210">
        <f>SUM(I75:I78)</f>
        <v>3.6519999999999997</v>
      </c>
      <c r="J79" s="568">
        <f>SUM(J75:J78)</f>
        <v>2.9729999999999999</v>
      </c>
    </row>
    <row r="80" spans="1:10">
      <c r="A80" s="16"/>
      <c r="B80" s="1305"/>
      <c r="C80" s="1305"/>
      <c r="D80" s="1305"/>
      <c r="E80" s="1305"/>
      <c r="F80" s="1305"/>
      <c r="G80" s="16"/>
      <c r="H80" s="1305"/>
      <c r="I80" s="1305"/>
      <c r="J80" s="1305"/>
    </row>
    <row r="81" spans="1:10">
      <c r="A81" s="16"/>
      <c r="B81" s="1305"/>
      <c r="C81" s="1305"/>
      <c r="D81" s="1305"/>
      <c r="E81" s="1305"/>
      <c r="F81" s="1305"/>
      <c r="G81" s="16"/>
      <c r="H81" s="1305"/>
      <c r="I81" s="1305"/>
      <c r="J81" s="1305"/>
    </row>
    <row r="82" spans="1:10">
      <c r="A82" s="16"/>
      <c r="B82" s="1305"/>
      <c r="C82" s="1305"/>
      <c r="D82" s="1305"/>
      <c r="E82" s="1305"/>
      <c r="F82" s="1305"/>
      <c r="G82" s="16"/>
      <c r="H82" s="1305"/>
      <c r="I82" s="1305"/>
      <c r="J82" s="1305"/>
    </row>
    <row r="83" spans="1:10">
      <c r="A83" s="16"/>
      <c r="B83" s="1305"/>
      <c r="C83" s="1305"/>
      <c r="D83" s="1305"/>
      <c r="E83" s="1305"/>
      <c r="F83" s="1305"/>
      <c r="G83" s="16"/>
      <c r="H83" s="1305"/>
      <c r="I83" s="1305"/>
      <c r="J83" s="1305"/>
    </row>
    <row r="84" spans="1:10">
      <c r="A84" s="16"/>
      <c r="B84" s="1305"/>
      <c r="C84" s="1305"/>
      <c r="D84" s="1305"/>
      <c r="E84" s="1305"/>
      <c r="F84" s="1305"/>
      <c r="G84" s="16"/>
      <c r="H84" s="1305"/>
      <c r="I84" s="1305"/>
      <c r="J84" s="1305"/>
    </row>
    <row r="85" spans="1:10">
      <c r="A85" s="16"/>
      <c r="B85" s="1305"/>
      <c r="C85" s="1305"/>
      <c r="D85" s="1305"/>
      <c r="E85" s="1305"/>
      <c r="F85" s="1305"/>
      <c r="G85" s="16"/>
      <c r="H85" s="1305"/>
      <c r="I85" s="1305"/>
      <c r="J85" s="1305"/>
    </row>
    <row r="86" spans="1:10">
      <c r="A86" s="16"/>
      <c r="B86" s="1305"/>
      <c r="C86" s="1305"/>
      <c r="D86" s="1305"/>
      <c r="E86" s="1305"/>
      <c r="F86" s="1305"/>
      <c r="G86" s="16"/>
      <c r="H86" s="1305"/>
      <c r="I86" s="1305"/>
      <c r="J86" s="1305"/>
    </row>
    <row r="87" spans="1:10">
      <c r="A87" s="16"/>
      <c r="B87" s="1305"/>
      <c r="C87" s="1305"/>
      <c r="D87" s="1305"/>
      <c r="E87" s="1305"/>
      <c r="F87" s="1305"/>
      <c r="G87" s="16"/>
      <c r="H87" s="1305"/>
      <c r="I87" s="1305"/>
      <c r="J87" s="1305"/>
    </row>
    <row r="88" spans="1:10">
      <c r="A88" s="16"/>
      <c r="B88" s="1305"/>
      <c r="C88" s="1305"/>
      <c r="D88" s="1305"/>
      <c r="E88" s="1305"/>
      <c r="F88" s="1305"/>
      <c r="G88" s="16"/>
      <c r="H88" s="1305"/>
      <c r="I88" s="1305"/>
      <c r="J88" s="1305"/>
    </row>
    <row r="89" spans="1:10">
      <c r="A89" s="16"/>
      <c r="B89" s="1305"/>
      <c r="C89" s="1305"/>
      <c r="D89" s="1305"/>
      <c r="E89" s="1305"/>
      <c r="F89" s="1305"/>
      <c r="G89" s="16"/>
      <c r="H89" s="1305"/>
      <c r="I89" s="1305"/>
      <c r="J89" s="1305"/>
    </row>
    <row r="90" spans="1:10">
      <c r="A90" s="16"/>
      <c r="B90" s="1305"/>
      <c r="C90" s="1305"/>
      <c r="D90" s="1305"/>
      <c r="E90" s="1305"/>
      <c r="F90" s="1305"/>
      <c r="G90" s="16"/>
      <c r="H90" s="1305"/>
      <c r="I90" s="1305"/>
      <c r="J90" s="1305"/>
    </row>
    <row r="91" spans="1:10">
      <c r="A91" s="16"/>
      <c r="B91" s="1305"/>
      <c r="C91" s="1305"/>
      <c r="D91" s="1305"/>
      <c r="E91" s="1305"/>
      <c r="F91" s="1305"/>
      <c r="G91" s="16"/>
      <c r="H91" s="1305"/>
      <c r="I91" s="1305"/>
      <c r="J91" s="1305"/>
    </row>
    <row r="92" spans="1:10">
      <c r="A92" s="16"/>
      <c r="B92" s="1305"/>
      <c r="C92" s="1305"/>
      <c r="D92" s="1305"/>
      <c r="E92" s="1305"/>
      <c r="F92" s="1305"/>
      <c r="G92" s="16"/>
      <c r="H92" s="1305"/>
      <c r="I92" s="1305"/>
      <c r="J92" s="1305"/>
    </row>
    <row r="93" spans="1:10">
      <c r="A93" s="16"/>
      <c r="B93" s="1305"/>
      <c r="C93" s="1305"/>
      <c r="D93" s="1305"/>
      <c r="E93" s="1305"/>
      <c r="F93" s="1305"/>
      <c r="G93" s="16"/>
      <c r="H93" s="1305"/>
      <c r="I93" s="1305"/>
      <c r="J93" s="1305"/>
    </row>
    <row r="94" spans="1:10">
      <c r="A94" s="16"/>
      <c r="B94" s="1305"/>
      <c r="C94" s="1305"/>
      <c r="D94" s="1305"/>
      <c r="E94" s="1305"/>
      <c r="F94" s="1305"/>
      <c r="G94" s="16"/>
      <c r="H94" s="1305"/>
      <c r="I94" s="1305"/>
      <c r="J94" s="1305"/>
    </row>
    <row r="95" spans="1:10">
      <c r="A95" s="16"/>
      <c r="B95" s="1305"/>
      <c r="C95" s="1305"/>
      <c r="D95" s="1305"/>
      <c r="E95" s="1305"/>
      <c r="F95" s="1305"/>
      <c r="G95" s="16"/>
      <c r="H95" s="1305"/>
      <c r="I95" s="1305"/>
      <c r="J95" s="1305"/>
    </row>
    <row r="96" spans="1:10">
      <c r="A96" s="16"/>
      <c r="B96" s="1305"/>
      <c r="C96" s="1305"/>
      <c r="D96" s="1305"/>
      <c r="E96" s="1305"/>
      <c r="F96" s="1305"/>
      <c r="G96" s="16"/>
      <c r="H96" s="1305"/>
      <c r="I96" s="1305"/>
      <c r="J96" s="1305"/>
    </row>
    <row r="97" spans="1:10">
      <c r="A97" s="16"/>
      <c r="B97" s="1305"/>
      <c r="C97" s="1305"/>
      <c r="D97" s="1305"/>
      <c r="E97" s="1305"/>
      <c r="F97" s="1305"/>
      <c r="G97" s="16"/>
      <c r="H97" s="1305"/>
      <c r="I97" s="1305"/>
      <c r="J97" s="1305"/>
    </row>
    <row r="98" spans="1:10">
      <c r="A98" s="16"/>
      <c r="B98" s="1305"/>
      <c r="C98" s="1305"/>
      <c r="D98" s="1305"/>
      <c r="E98" s="1305"/>
      <c r="F98" s="1305"/>
      <c r="G98" s="16"/>
      <c r="H98" s="1305"/>
      <c r="I98" s="1305"/>
      <c r="J98" s="1305"/>
    </row>
    <row r="99" spans="1:10">
      <c r="A99" s="16"/>
      <c r="B99" s="1305"/>
      <c r="C99" s="1305"/>
      <c r="D99" s="1305"/>
      <c r="E99" s="1305"/>
      <c r="F99" s="1305"/>
      <c r="G99" s="16"/>
      <c r="H99" s="1305"/>
      <c r="I99" s="1305"/>
      <c r="J99" s="1305"/>
    </row>
    <row r="100" spans="1:10">
      <c r="A100" s="16"/>
      <c r="B100" s="1305"/>
      <c r="C100" s="1305"/>
      <c r="D100" s="1305"/>
      <c r="E100" s="1305"/>
      <c r="F100" s="1305"/>
      <c r="G100" s="16"/>
      <c r="H100" s="1305"/>
      <c r="I100" s="1305"/>
      <c r="J100" s="1305"/>
    </row>
    <row r="101" spans="1:10">
      <c r="A101" s="16"/>
      <c r="B101" s="1305"/>
      <c r="C101" s="1305"/>
      <c r="D101" s="1305"/>
      <c r="E101" s="1305"/>
      <c r="F101" s="1305"/>
      <c r="G101" s="16"/>
      <c r="H101" s="1305"/>
      <c r="I101" s="1305"/>
      <c r="J101" s="1305"/>
    </row>
    <row r="102" spans="1:10">
      <c r="A102" s="16"/>
      <c r="B102" s="1305"/>
      <c r="C102" s="1305"/>
      <c r="D102" s="1305"/>
      <c r="E102" s="1305"/>
      <c r="F102" s="1305"/>
      <c r="G102" s="16"/>
      <c r="H102" s="1305"/>
      <c r="I102" s="1305"/>
      <c r="J102" s="1305"/>
    </row>
    <row r="103" spans="1:10">
      <c r="A103" s="16"/>
      <c r="B103" s="1305"/>
      <c r="C103" s="1305"/>
      <c r="D103" s="1305"/>
      <c r="E103" s="1305"/>
      <c r="F103" s="1305"/>
      <c r="G103" s="16"/>
      <c r="H103" s="1305"/>
      <c r="I103" s="1305"/>
      <c r="J103" s="1305"/>
    </row>
    <row r="104" spans="1:10">
      <c r="A104" s="16"/>
      <c r="B104" s="1305"/>
      <c r="C104" s="1305"/>
      <c r="D104" s="1305"/>
      <c r="E104" s="1305"/>
      <c r="F104" s="1305"/>
      <c r="G104" s="16"/>
      <c r="H104" s="1305"/>
      <c r="I104" s="1305"/>
      <c r="J104" s="1305"/>
    </row>
    <row r="105" spans="1:10">
      <c r="A105" s="16"/>
      <c r="B105" s="1305"/>
      <c r="C105" s="1305"/>
      <c r="D105" s="1305"/>
      <c r="E105" s="1305"/>
      <c r="F105" s="1305"/>
      <c r="G105" s="16"/>
      <c r="H105" s="1305"/>
      <c r="I105" s="1305"/>
      <c r="J105" s="1305"/>
    </row>
    <row r="106" spans="1:10" s="135" customFormat="1"/>
    <row r="154" spans="1:8" ht="15.75">
      <c r="A154" s="1215" t="s">
        <v>704</v>
      </c>
      <c r="B154" s="1170"/>
      <c r="C154" s="1170"/>
      <c r="D154" s="1170"/>
      <c r="E154" s="1170"/>
      <c r="F154" s="1170"/>
      <c r="G154" s="1170"/>
      <c r="H154" s="1171"/>
    </row>
    <row r="155" spans="1:8">
      <c r="A155" s="1169"/>
      <c r="B155" s="1075"/>
      <c r="C155" s="1358" t="s">
        <v>673</v>
      </c>
      <c r="D155" s="1358"/>
      <c r="E155" s="1359"/>
      <c r="F155" s="1360" t="s">
        <v>674</v>
      </c>
      <c r="G155" s="1358"/>
      <c r="H155" s="1359"/>
    </row>
    <row r="156" spans="1:8">
      <c r="A156" s="172" t="s">
        <v>671</v>
      </c>
      <c r="B156" s="1075"/>
      <c r="C156" s="1221" t="s">
        <v>705</v>
      </c>
      <c r="D156" s="1183" t="s">
        <v>706</v>
      </c>
      <c r="E156" s="1184" t="s">
        <v>707</v>
      </c>
      <c r="F156" s="1185" t="str">
        <f>+C156</f>
        <v>C. Leader</v>
      </c>
      <c r="G156" s="1186" t="str">
        <f>+D156</f>
        <v>V. Axe</v>
      </c>
      <c r="H156" s="1187" t="str">
        <f>+E156</f>
        <v>T. Spindle</v>
      </c>
    </row>
    <row r="157" spans="1:8">
      <c r="A157" s="494" t="s">
        <v>89</v>
      </c>
      <c r="B157" s="1069"/>
      <c r="C157" s="981">
        <f>+'Central Leader'!I252</f>
        <v>30.504000000000001</v>
      </c>
      <c r="D157" s="545">
        <f>+'Vertical Axe'!I190</f>
        <v>72.504000000000005</v>
      </c>
      <c r="E157" s="989">
        <f>+'Tall Spindle'!I129</f>
        <v>79.504000000000005</v>
      </c>
      <c r="F157" s="1216">
        <f t="shared" ref="F157:F172" si="8">+C157/$C$174*100</f>
        <v>1.5386849242198173</v>
      </c>
      <c r="G157" s="1217">
        <f t="shared" ref="G157:G172" si="9">+D157/$D$174*100</f>
        <v>3.6641742313756942</v>
      </c>
      <c r="H157" s="1218">
        <f t="shared" ref="H157:H172" si="10">+E157/$E$174*100</f>
        <v>4.323514026525471</v>
      </c>
    </row>
    <row r="158" spans="1:8">
      <c r="A158" s="495" t="s">
        <v>672</v>
      </c>
      <c r="B158" s="1056"/>
      <c r="C158" s="976">
        <f>SUM('Central Leader'!I253:I254)</f>
        <v>469.13972222222213</v>
      </c>
      <c r="D158" s="532">
        <f>SUM('Vertical Axe'!I191:I192)</f>
        <v>450.89268571428573</v>
      </c>
      <c r="E158" s="974">
        <f>SUM('Tall Spindle'!I130:I131)</f>
        <v>439.87650000000002</v>
      </c>
      <c r="F158" s="1176">
        <f t="shared" si="8"/>
        <v>23.664379030160173</v>
      </c>
      <c r="G158" s="533">
        <f t="shared" si="9"/>
        <v>22.787009821665912</v>
      </c>
      <c r="H158" s="537">
        <f t="shared" si="10"/>
        <v>23.920962689788329</v>
      </c>
    </row>
    <row r="159" spans="1:8">
      <c r="A159" s="495" t="s">
        <v>111</v>
      </c>
      <c r="B159" s="1056"/>
      <c r="C159" s="976">
        <f>+'Central Leader'!I255</f>
        <v>27.251000000000001</v>
      </c>
      <c r="D159" s="532">
        <f>+'Vertical Axe'!I193</f>
        <v>58.797428571428576</v>
      </c>
      <c r="E159" s="974">
        <f>+'Tall Spindle'!I132</f>
        <v>102.876</v>
      </c>
      <c r="F159" s="1176">
        <f t="shared" si="8"/>
        <v>1.3745968682767584</v>
      </c>
      <c r="G159" s="533">
        <f t="shared" si="9"/>
        <v>2.9714777480219237</v>
      </c>
      <c r="H159" s="537">
        <f t="shared" si="10"/>
        <v>5.5945088170763029</v>
      </c>
    </row>
    <row r="160" spans="1:8">
      <c r="A160" s="495" t="s">
        <v>92</v>
      </c>
      <c r="B160" s="1056"/>
      <c r="C160" s="976">
        <f>SUM('Central Leader'!I257:I258)</f>
        <v>25.269333333333336</v>
      </c>
      <c r="D160" s="532">
        <f>SUM('Vertical Axe'!I195:I196)</f>
        <v>48.08504657738095</v>
      </c>
      <c r="E160" s="974">
        <f>SUM('Tall Spindle'!I134:I135)</f>
        <v>55.256909895833346</v>
      </c>
      <c r="F160" s="1176">
        <f t="shared" si="8"/>
        <v>1.2746374981997541</v>
      </c>
      <c r="G160" s="533">
        <f t="shared" si="9"/>
        <v>2.4301002507908431</v>
      </c>
      <c r="H160" s="537">
        <f t="shared" si="10"/>
        <v>3.0049308839440729</v>
      </c>
    </row>
    <row r="161" spans="1:8">
      <c r="A161" s="495" t="s">
        <v>94</v>
      </c>
      <c r="B161" s="1056"/>
      <c r="C161" s="976">
        <f>SUM('Central Leader'!I260:I261)</f>
        <v>1208.4355796130951</v>
      </c>
      <c r="D161" s="532">
        <f>SUM('Vertical Axe'!I198:I199)</f>
        <v>1002.053663690476</v>
      </c>
      <c r="E161" s="974">
        <f>SUM('Tall Spindle'!I137:I138)</f>
        <v>795.67174776785703</v>
      </c>
      <c r="F161" s="1176">
        <f t="shared" si="8"/>
        <v>60.955992926878643</v>
      </c>
      <c r="G161" s="533">
        <f t="shared" si="9"/>
        <v>50.64133307059263</v>
      </c>
      <c r="H161" s="537">
        <f t="shared" si="10"/>
        <v>43.269495396261405</v>
      </c>
    </row>
    <row r="162" spans="1:8">
      <c r="A162" s="1173" t="s">
        <v>597</v>
      </c>
      <c r="B162" s="1056"/>
      <c r="C162" s="976">
        <f>'Central Leader'!I262</f>
        <v>9</v>
      </c>
      <c r="D162" s="532">
        <f>'Vertical Axe'!I200</f>
        <v>9</v>
      </c>
      <c r="E162" s="974">
        <f>'Tall Spindle'!I139</f>
        <v>9</v>
      </c>
      <c r="F162" s="1176">
        <f t="shared" si="8"/>
        <v>0.45397863617815221</v>
      </c>
      <c r="G162" s="533">
        <f t="shared" si="9"/>
        <v>0.45483791352727077</v>
      </c>
      <c r="H162" s="537">
        <f t="shared" si="10"/>
        <v>0.4894297926988484</v>
      </c>
    </row>
    <row r="163" spans="1:8">
      <c r="A163" s="495" t="s">
        <v>103</v>
      </c>
      <c r="B163" s="1056"/>
      <c r="C163" s="976">
        <f>SUM('Central Leader'!I264:I265)</f>
        <v>19.360892857142858</v>
      </c>
      <c r="D163" s="532">
        <f>SUM('Vertical Axe'!I202:I203)</f>
        <v>24.892576530612246</v>
      </c>
      <c r="E163" s="974">
        <f>SUM('Tall Spindle'!I141:I142)</f>
        <v>29.041339285714283</v>
      </c>
      <c r="F163" s="1176">
        <f t="shared" si="8"/>
        <v>0.97660352605300482</v>
      </c>
      <c r="G163" s="533">
        <f t="shared" si="9"/>
        <v>1.2580097301668427</v>
      </c>
      <c r="H163" s="537">
        <f t="shared" si="10"/>
        <v>1.5792996295893404</v>
      </c>
    </row>
    <row r="164" spans="1:8">
      <c r="A164" s="495" t="s">
        <v>105</v>
      </c>
      <c r="B164" s="1056"/>
      <c r="C164" s="976">
        <f>SUM('Central Leader'!I267:I268)</f>
        <v>8.3576750700280105</v>
      </c>
      <c r="D164" s="532">
        <f>SUM('Vertical Axe'!I205:I206)</f>
        <v>8.3576750700280105</v>
      </c>
      <c r="E164" s="974">
        <f>SUM('Tall Spindle'!I144:I145)</f>
        <v>8.3576750700280105</v>
      </c>
      <c r="F164" s="1176">
        <f t="shared" si="8"/>
        <v>0.42157843665682881</v>
      </c>
      <c r="G164" s="533">
        <f t="shared" si="9"/>
        <v>0.422376387865603</v>
      </c>
      <c r="H164" s="537">
        <f t="shared" si="10"/>
        <v>0.45449946410757136</v>
      </c>
    </row>
    <row r="165" spans="1:8">
      <c r="A165" s="495" t="s">
        <v>107</v>
      </c>
      <c r="B165" s="1056"/>
      <c r="C165" s="976">
        <f>+'Central Leader'!I269</f>
        <v>43.335333333333338</v>
      </c>
      <c r="D165" s="532">
        <f>+'Vertical Axe'!I207</f>
        <v>58.143428571428572</v>
      </c>
      <c r="E165" s="974">
        <f>+'Tall Spindle'!I146</f>
        <v>69.551999999999992</v>
      </c>
      <c r="F165" s="1176">
        <f t="shared" si="8"/>
        <v>2.1859239472213652</v>
      </c>
      <c r="G165" s="533">
        <f t="shared" si="9"/>
        <v>2.9384261929722753</v>
      </c>
      <c r="H165" s="537">
        <f t="shared" si="10"/>
        <v>3.7823134379766996</v>
      </c>
    </row>
    <row r="166" spans="1:8">
      <c r="A166" s="495" t="s">
        <v>112</v>
      </c>
      <c r="B166" s="1056"/>
      <c r="C166" s="976">
        <f>SUM('Central Leader'!I271:I272)</f>
        <v>19.31860714285714</v>
      </c>
      <c r="D166" s="532">
        <f>SUM('Vertical Axe'!I209:I210)</f>
        <v>21.000363095238093</v>
      </c>
      <c r="E166" s="974">
        <f>SUM('Tall Spindle'!I148:I149)</f>
        <v>24.738398809523805</v>
      </c>
      <c r="F166" s="1176">
        <f t="shared" si="8"/>
        <v>0.97447054706397718</v>
      </c>
      <c r="G166" s="533">
        <f t="shared" si="9"/>
        <v>1.0613068148392437</v>
      </c>
      <c r="H166" s="537">
        <f t="shared" si="10"/>
        <v>1.3453010445607416</v>
      </c>
    </row>
    <row r="167" spans="1:8">
      <c r="A167" s="495" t="s">
        <v>114</v>
      </c>
      <c r="B167" s="1056"/>
      <c r="C167" s="976">
        <f>+'Central Leader'!I273</f>
        <v>35</v>
      </c>
      <c r="D167" s="532">
        <f>+'Vertical Axe'!I211</f>
        <v>35</v>
      </c>
      <c r="E167" s="974">
        <f>+'Tall Spindle'!I150</f>
        <v>35</v>
      </c>
      <c r="F167" s="1176">
        <f t="shared" si="8"/>
        <v>1.7654724740261474</v>
      </c>
      <c r="G167" s="533">
        <f t="shared" si="9"/>
        <v>1.7688141081616087</v>
      </c>
      <c r="H167" s="537">
        <f t="shared" si="10"/>
        <v>1.9033380827177437</v>
      </c>
    </row>
    <row r="168" spans="1:8">
      <c r="A168" s="495" t="s">
        <v>108</v>
      </c>
      <c r="B168" s="1056"/>
      <c r="C168" s="976">
        <f>+'Central Leader'!I274</f>
        <v>15</v>
      </c>
      <c r="D168" s="532">
        <f>+'Vertical Axe'!I212</f>
        <v>15</v>
      </c>
      <c r="E168" s="974">
        <f>+'Tall Spindle'!I151</f>
        <v>15</v>
      </c>
      <c r="F168" s="1176">
        <f t="shared" si="8"/>
        <v>0.7566310602969204</v>
      </c>
      <c r="G168" s="533">
        <f t="shared" si="9"/>
        <v>0.75806318921211802</v>
      </c>
      <c r="H168" s="537">
        <f t="shared" si="10"/>
        <v>0.81571632116474724</v>
      </c>
    </row>
    <row r="169" spans="1:8">
      <c r="A169" s="495" t="s">
        <v>109</v>
      </c>
      <c r="B169" s="1056"/>
      <c r="C169" s="976">
        <f>+'Central Leader'!I275</f>
        <v>25</v>
      </c>
      <c r="D169" s="532">
        <f>+'Vertical Axe'!I213</f>
        <v>35</v>
      </c>
      <c r="E169" s="974">
        <f>+'Tall Spindle'!I152</f>
        <v>35</v>
      </c>
      <c r="F169" s="1176">
        <f t="shared" si="8"/>
        <v>1.261051767161534</v>
      </c>
      <c r="G169" s="533">
        <f t="shared" si="9"/>
        <v>1.7688141081616087</v>
      </c>
      <c r="H169" s="537">
        <f t="shared" si="10"/>
        <v>1.9033380827177437</v>
      </c>
    </row>
    <row r="170" spans="1:8">
      <c r="A170" s="495" t="s">
        <v>115</v>
      </c>
      <c r="B170" s="1056"/>
      <c r="C170" s="976">
        <f>+'Central Leader'!I276</f>
        <v>0</v>
      </c>
      <c r="D170" s="532">
        <f>+'Vertical Axe'!I214</f>
        <v>92.5</v>
      </c>
      <c r="E170" s="974">
        <f>+'Tall Spindle'!I153</f>
        <v>92.5</v>
      </c>
      <c r="F170" s="1176">
        <f t="shared" si="8"/>
        <v>0</v>
      </c>
      <c r="G170" s="533">
        <f t="shared" si="9"/>
        <v>4.6747230001413946</v>
      </c>
      <c r="H170" s="537">
        <f t="shared" si="10"/>
        <v>5.0302506471826085</v>
      </c>
    </row>
    <row r="171" spans="1:8">
      <c r="A171" s="495" t="s">
        <v>71</v>
      </c>
      <c r="B171" s="1056"/>
      <c r="C171" s="976">
        <f>+'Central Leader'!I277</f>
        <v>35</v>
      </c>
      <c r="D171" s="532">
        <f>+'Vertical Axe'!I215</f>
        <v>35</v>
      </c>
      <c r="E171" s="974">
        <f>+'Tall Spindle'!I154</f>
        <v>35</v>
      </c>
      <c r="F171" s="1176">
        <f t="shared" si="8"/>
        <v>1.7654724740261474</v>
      </c>
      <c r="G171" s="533">
        <f t="shared" si="9"/>
        <v>1.7688141081616087</v>
      </c>
      <c r="H171" s="537">
        <f t="shared" si="10"/>
        <v>1.9033380827177437</v>
      </c>
    </row>
    <row r="172" spans="1:8">
      <c r="A172" s="495" t="s">
        <v>72</v>
      </c>
      <c r="B172" s="1056"/>
      <c r="C172" s="976">
        <f>+'Central Leader'!I278</f>
        <v>12.5</v>
      </c>
      <c r="D172" s="532">
        <f>+'Vertical Axe'!I216</f>
        <v>12.5</v>
      </c>
      <c r="E172" s="974">
        <f>+'Tall Spindle'!I155</f>
        <v>12.5</v>
      </c>
      <c r="F172" s="1176">
        <f t="shared" si="8"/>
        <v>0.630525883580767</v>
      </c>
      <c r="G172" s="533">
        <f t="shared" si="9"/>
        <v>0.6317193243434317</v>
      </c>
      <c r="H172" s="537">
        <f t="shared" si="10"/>
        <v>0.67976360097062272</v>
      </c>
    </row>
    <row r="173" spans="1:8">
      <c r="A173" s="1174"/>
      <c r="B173" s="1065"/>
      <c r="C173" s="994"/>
      <c r="D173" s="995"/>
      <c r="E173" s="996"/>
      <c r="F173" s="1219"/>
      <c r="G173" s="1220"/>
      <c r="H173" s="539"/>
    </row>
    <row r="174" spans="1:8">
      <c r="A174" s="172" t="s">
        <v>49</v>
      </c>
      <c r="B174" s="1075"/>
      <c r="C174" s="1182">
        <f>SUM(C157:C173)</f>
        <v>1982.4721435720121</v>
      </c>
      <c r="D174" s="1177">
        <f>SUM(D157:D173)</f>
        <v>1978.7268678208782</v>
      </c>
      <c r="E174" s="1178">
        <f>SUM(E157:E173)</f>
        <v>1838.8745708289566</v>
      </c>
      <c r="F174" s="1179">
        <f>+C174/$C$174*100</f>
        <v>100</v>
      </c>
      <c r="G174" s="1180">
        <f>+D174/$D$174*100</f>
        <v>100</v>
      </c>
      <c r="H174" s="1181">
        <f>+E174/$E$174*100</f>
        <v>100</v>
      </c>
    </row>
    <row r="184" spans="2:2">
      <c r="B184" s="466"/>
    </row>
    <row r="209" spans="1:8" ht="20.25">
      <c r="A209" s="1072" t="s">
        <v>693</v>
      </c>
      <c r="B209" s="1073"/>
      <c r="C209" s="1073"/>
      <c r="D209" s="1074"/>
      <c r="E209" s="1074"/>
      <c r="F209" s="1073"/>
      <c r="G209" s="1073"/>
      <c r="H209" s="1075"/>
    </row>
    <row r="210" spans="1:8">
      <c r="A210" s="496"/>
      <c r="B210" s="328"/>
      <c r="C210" s="328"/>
      <c r="D210" s="1070"/>
      <c r="E210" s="1070"/>
      <c r="F210" s="328"/>
      <c r="G210" s="328"/>
      <c r="H210" s="341"/>
    </row>
    <row r="211" spans="1:8">
      <c r="A211" s="1071" t="s">
        <v>33</v>
      </c>
      <c r="B211" s="100"/>
      <c r="C211" s="100"/>
      <c r="D211" s="101"/>
      <c r="E211" s="101"/>
      <c r="F211" s="100"/>
      <c r="G211" s="100"/>
      <c r="H211" s="1056"/>
    </row>
    <row r="212" spans="1:8">
      <c r="A212" s="393"/>
      <c r="B212" s="334"/>
      <c r="C212" s="334"/>
      <c r="D212" s="1059"/>
      <c r="E212" s="1059"/>
      <c r="F212" s="334"/>
      <c r="G212" s="334"/>
      <c r="H212" s="394"/>
    </row>
    <row r="213" spans="1:8">
      <c r="A213" s="1078" t="s">
        <v>694</v>
      </c>
      <c r="B213" s="339"/>
      <c r="C213" s="339"/>
      <c r="D213" s="1062"/>
      <c r="E213" s="1062"/>
      <c r="F213" s="339"/>
      <c r="G213" s="339"/>
      <c r="H213" s="1069"/>
    </row>
    <row r="214" spans="1:8">
      <c r="A214" s="489"/>
      <c r="B214" s="100"/>
      <c r="C214" s="100"/>
      <c r="D214" s="101"/>
      <c r="E214" s="101"/>
      <c r="F214" s="100"/>
      <c r="G214" s="100"/>
      <c r="H214" s="1056"/>
    </row>
    <row r="215" spans="1:8">
      <c r="A215" s="1064"/>
      <c r="B215" s="338"/>
      <c r="C215" s="338"/>
      <c r="D215" s="1076"/>
      <c r="E215" s="1076"/>
      <c r="F215" s="338"/>
      <c r="G215" s="338"/>
      <c r="H215" s="1065"/>
    </row>
    <row r="216" spans="1:8">
      <c r="A216" s="496"/>
      <c r="B216" s="484" t="s">
        <v>36</v>
      </c>
      <c r="C216" s="1362" t="s">
        <v>695</v>
      </c>
      <c r="D216" s="1362"/>
      <c r="E216" s="1362" t="s">
        <v>696</v>
      </c>
      <c r="F216" s="1362"/>
      <c r="G216" s="1362" t="s">
        <v>697</v>
      </c>
      <c r="H216" s="1363"/>
    </row>
    <row r="217" spans="1:8">
      <c r="A217" s="393"/>
      <c r="B217" s="110" t="s">
        <v>38</v>
      </c>
      <c r="C217" s="110" t="s">
        <v>40</v>
      </c>
      <c r="D217" s="110" t="s">
        <v>41</v>
      </c>
      <c r="E217" s="110" t="s">
        <v>40</v>
      </c>
      <c r="F217" s="110" t="s">
        <v>41</v>
      </c>
      <c r="G217" s="110" t="s">
        <v>40</v>
      </c>
      <c r="H217" s="111" t="s">
        <v>41</v>
      </c>
    </row>
    <row r="218" spans="1:8">
      <c r="A218" s="487"/>
      <c r="B218" s="106">
        <v>200</v>
      </c>
      <c r="C218" s="1063">
        <f>+'CL Profit'!G61</f>
        <v>13.712695959267659</v>
      </c>
      <c r="D218" s="1063">
        <f>+'CL Profit'!H61</f>
        <v>0.32649276093494428</v>
      </c>
      <c r="E218" s="1063">
        <f>+'VA Profit'!G61</f>
        <v>13.740932377610857</v>
      </c>
      <c r="F218" s="1063">
        <f>+'VA Profit'!H61</f>
        <v>0.32716505660978229</v>
      </c>
      <c r="G218" s="1063">
        <f>+'TS Profit'!G61</f>
        <v>12.973168459640922</v>
      </c>
      <c r="H218" s="1077">
        <f>+'TS Profit'!H61</f>
        <v>0.30888496332478388</v>
      </c>
    </row>
    <row r="219" spans="1:8">
      <c r="A219" s="489"/>
      <c r="B219" s="103">
        <f>+B218+100</f>
        <v>300</v>
      </c>
      <c r="C219" s="505">
        <f>+'CL Profit'!G62</f>
        <v>9.6698482890844222</v>
      </c>
      <c r="D219" s="505">
        <f>+'CL Profit'!H62</f>
        <v>0.23023448307343863</v>
      </c>
      <c r="E219" s="505">
        <f>+'VA Profit'!G62</f>
        <v>9.6886725679798875</v>
      </c>
      <c r="F219" s="505">
        <f>+'VA Profit'!H62</f>
        <v>0.23068268018999732</v>
      </c>
      <c r="G219" s="505">
        <f>+'TS Profit'!G62</f>
        <v>9.1768299559999296</v>
      </c>
      <c r="H219" s="529">
        <f>+'TS Profit'!H62</f>
        <v>0.21849595133333166</v>
      </c>
    </row>
    <row r="220" spans="1:8">
      <c r="A220" s="489"/>
      <c r="B220" s="103">
        <f t="shared" ref="B220:B228" si="11">+B219+100</f>
        <v>400</v>
      </c>
      <c r="C220" s="505">
        <f>+'CL Profit'!G63</f>
        <v>7.6484244539928046</v>
      </c>
      <c r="D220" s="505">
        <f>+'CL Profit'!H63</f>
        <v>0.18210534414268581</v>
      </c>
      <c r="E220" s="505">
        <f>+'VA Profit'!G63</f>
        <v>7.6625426631644027</v>
      </c>
      <c r="F220" s="505">
        <f>+'VA Profit'!H63</f>
        <v>0.18244149198010481</v>
      </c>
      <c r="G220" s="505">
        <f>+'TS Profit'!G63</f>
        <v>7.2786607041794351</v>
      </c>
      <c r="H220" s="529">
        <f>+'TS Profit'!H63</f>
        <v>0.17330144533760561</v>
      </c>
    </row>
    <row r="221" spans="1:8">
      <c r="A221" s="489"/>
      <c r="B221" s="103">
        <f t="shared" si="11"/>
        <v>500</v>
      </c>
      <c r="C221" s="1079">
        <f>+'CL Profit'!G64</f>
        <v>6.4355701529378333</v>
      </c>
      <c r="D221" s="1079">
        <f>+'CL Profit'!H64</f>
        <v>0.15322786078423412</v>
      </c>
      <c r="E221" s="505">
        <f>+'VA Profit'!G64</f>
        <v>6.4468647202751121</v>
      </c>
      <c r="F221" s="505">
        <f>+'VA Profit'!H64</f>
        <v>0.15349677905416934</v>
      </c>
      <c r="G221" s="505">
        <f>+'TS Profit'!G64</f>
        <v>6.1397591530871374</v>
      </c>
      <c r="H221" s="529">
        <f>+'TS Profit'!H64</f>
        <v>0.14618474174016993</v>
      </c>
    </row>
    <row r="222" spans="1:8">
      <c r="A222" s="489"/>
      <c r="B222" s="103">
        <f t="shared" si="11"/>
        <v>600</v>
      </c>
      <c r="C222" s="505">
        <f>+'CL Profit'!G65</f>
        <v>5.6270006189011852</v>
      </c>
      <c r="D222" s="505">
        <f>+'CL Profit'!H65</f>
        <v>0.13397620521193299</v>
      </c>
      <c r="E222" s="1079">
        <f>+'VA Profit'!G65</f>
        <v>5.6364127583489188</v>
      </c>
      <c r="F222" s="1079">
        <f>+'VA Profit'!H65</f>
        <v>0.13420030377021236</v>
      </c>
      <c r="G222" s="505">
        <f>+'TS Profit'!G65</f>
        <v>5.3804914523589389</v>
      </c>
      <c r="H222" s="529">
        <f>+'TS Profit'!H65</f>
        <v>0.1281069393418795</v>
      </c>
    </row>
    <row r="223" spans="1:8">
      <c r="A223" s="489"/>
      <c r="B223" s="103">
        <f t="shared" si="11"/>
        <v>700</v>
      </c>
      <c r="C223" s="505">
        <f>+'CL Profit'!G66</f>
        <v>5.049450951732152</v>
      </c>
      <c r="D223" s="505">
        <f>+'CL Profit'!H66</f>
        <v>0.12022502266028934</v>
      </c>
      <c r="E223" s="505">
        <f>+'VA Profit'!G66</f>
        <v>5.0575184998302083</v>
      </c>
      <c r="F223" s="505">
        <f>+'VA Profit'!H66</f>
        <v>0.12041710713881448</v>
      </c>
      <c r="G223" s="1079">
        <f>+'TS Profit'!G66</f>
        <v>4.8381573804102267</v>
      </c>
      <c r="H223" s="1080">
        <f>+'TS Profit'!H66</f>
        <v>0.11519422334310063</v>
      </c>
    </row>
    <row r="224" spans="1:8">
      <c r="A224" s="489"/>
      <c r="B224" s="103">
        <f t="shared" si="11"/>
        <v>800</v>
      </c>
      <c r="C224" s="505">
        <f>+'CL Profit'!G67</f>
        <v>4.6162887013553764</v>
      </c>
      <c r="D224" s="505">
        <f>+'CL Profit'!H67</f>
        <v>0.10991163574655657</v>
      </c>
      <c r="E224" s="505">
        <f>+'VA Profit'!G67</f>
        <v>4.6233478059411759</v>
      </c>
      <c r="F224" s="505">
        <f>+'VA Profit'!H67</f>
        <v>0.11007970966526609</v>
      </c>
      <c r="G224" s="505">
        <f>+'TS Profit'!G67</f>
        <v>4.4314068264486925</v>
      </c>
      <c r="H224" s="529">
        <f>+'TS Profit'!H67</f>
        <v>0.10550968634401649</v>
      </c>
    </row>
    <row r="225" spans="1:8">
      <c r="A225" s="489"/>
      <c r="B225" s="103">
        <f t="shared" si="11"/>
        <v>900</v>
      </c>
      <c r="C225" s="505">
        <f>+'CL Profit'!G68</f>
        <v>4.2793847288401068</v>
      </c>
      <c r="D225" s="505">
        <f>+'CL Profit'!H68</f>
        <v>0.10189011259143112</v>
      </c>
      <c r="E225" s="505">
        <f>+'VA Profit'!G68</f>
        <v>4.2856594884719286</v>
      </c>
      <c r="F225" s="505">
        <f>+'VA Profit'!H68</f>
        <v>0.10203951163028402</v>
      </c>
      <c r="G225" s="505">
        <f>+'TS Profit'!G68</f>
        <v>4.1150452844786098</v>
      </c>
      <c r="H225" s="529">
        <f>+'TS Profit'!H68</f>
        <v>9.797726867806214E-2</v>
      </c>
    </row>
    <row r="226" spans="1:8">
      <c r="A226" s="489"/>
      <c r="B226" s="103">
        <f t="shared" si="11"/>
        <v>1000</v>
      </c>
      <c r="C226" s="505">
        <f>+'CL Profit'!G69</f>
        <v>4.0098615508278908</v>
      </c>
      <c r="D226" s="505">
        <f>+'CL Profit'!H69</f>
        <v>9.5472894067330727E-2</v>
      </c>
      <c r="E226" s="505">
        <f>+'VA Profit'!G69</f>
        <v>4.0155088344965311</v>
      </c>
      <c r="F226" s="505">
        <f>+'VA Profit'!H69</f>
        <v>9.5607353202298365E-2</v>
      </c>
      <c r="G226" s="505">
        <f>+'TS Profit'!G69</f>
        <v>3.8619560509025432</v>
      </c>
      <c r="H226" s="529">
        <f>+'TS Profit'!H69</f>
        <v>9.1951334545298649E-2</v>
      </c>
    </row>
    <row r="227" spans="1:8">
      <c r="A227" s="489"/>
      <c r="B227" s="103">
        <f t="shared" si="11"/>
        <v>1100</v>
      </c>
      <c r="C227" s="505">
        <f>+'CL Profit'!G70</f>
        <v>3.7893425869997142</v>
      </c>
      <c r="D227" s="505">
        <f>+'CL Profit'!H70</f>
        <v>9.0222442547612247E-2</v>
      </c>
      <c r="E227" s="505">
        <f>+'VA Profit'!G70</f>
        <v>3.7944764812439322</v>
      </c>
      <c r="F227" s="505">
        <f>+'VA Profit'!H70</f>
        <v>9.0344678124855526E-2</v>
      </c>
      <c r="G227" s="505">
        <f>+'TS Profit'!G70</f>
        <v>3.6548830416130342</v>
      </c>
      <c r="H227" s="529">
        <f>+'TS Profit'!H70</f>
        <v>8.7021024800310334E-2</v>
      </c>
    </row>
    <row r="228" spans="1:8">
      <c r="A228" s="489"/>
      <c r="B228" s="103">
        <f t="shared" si="11"/>
        <v>1200</v>
      </c>
      <c r="C228" s="505">
        <f>+'CL Profit'!G71</f>
        <v>3.6055767838095667</v>
      </c>
      <c r="D228" s="505">
        <f>+'CL Profit'!H71</f>
        <v>8.5847066281180162E-2</v>
      </c>
      <c r="E228" s="505">
        <f>+'VA Profit'!G71</f>
        <v>3.6102828535334335</v>
      </c>
      <c r="F228" s="505">
        <f>+'VA Profit'!H71</f>
        <v>8.5959115560319849E-2</v>
      </c>
      <c r="G228" s="505">
        <f>+'TS Profit'!G71</f>
        <v>3.482322200538444</v>
      </c>
      <c r="H228" s="529">
        <f>+'TS Profit'!H71</f>
        <v>8.2912433346153433E-2</v>
      </c>
    </row>
    <row r="229" spans="1:8">
      <c r="A229" s="489"/>
      <c r="B229" s="103">
        <f>+B228+100</f>
        <v>1300</v>
      </c>
      <c r="C229" s="505">
        <f>+'CL Profit'!G72</f>
        <v>3.4500826426486735</v>
      </c>
      <c r="D229" s="505">
        <f>+'CL Profit'!H72</f>
        <v>8.2144824824968418E-2</v>
      </c>
      <c r="E229" s="505">
        <f>+'VA Profit'!G72</f>
        <v>3.4544267070091657</v>
      </c>
      <c r="F229" s="505">
        <f>+'VA Profit'!H72</f>
        <v>8.2248254928789663E-2</v>
      </c>
      <c r="G229" s="505">
        <f>+'TS Profit'!G72</f>
        <v>3.3363091811676369</v>
      </c>
      <c r="H229" s="529">
        <f>+'TS Profit'!H72</f>
        <v>7.943593288494373E-2</v>
      </c>
    </row>
    <row r="230" spans="1:8">
      <c r="A230" s="489"/>
      <c r="B230" s="103">
        <f>+B229+100</f>
        <v>1400</v>
      </c>
      <c r="C230" s="505">
        <f>+'CL Profit'!G73</f>
        <v>3.3168019502250505</v>
      </c>
      <c r="D230" s="505">
        <f>+'CL Profit'!H73</f>
        <v>7.8971475005358352E-2</v>
      </c>
      <c r="E230" s="505">
        <f>+'VA Profit'!G73</f>
        <v>3.3208357242740787</v>
      </c>
      <c r="F230" s="505">
        <f>+'VA Profit'!H73</f>
        <v>7.9067517244620925E-2</v>
      </c>
      <c r="G230" s="505">
        <f>+'TS Profit'!G73</f>
        <v>3.2111551645640879</v>
      </c>
      <c r="H230" s="529">
        <f>+'TS Profit'!H73</f>
        <v>7.6456075346763991E-2</v>
      </c>
    </row>
    <row r="231" spans="1:8">
      <c r="A231" s="393"/>
      <c r="B231" s="110">
        <f>+B230+100</f>
        <v>1500</v>
      </c>
      <c r="C231" s="1060">
        <f>+'CL Profit'!G74</f>
        <v>3.2012920167912435</v>
      </c>
      <c r="D231" s="1060">
        <f>+'CL Profit'!H74</f>
        <v>7.6221238495029611E-2</v>
      </c>
      <c r="E231" s="1060">
        <f>+'VA Profit'!G74</f>
        <v>3.2050568725703368</v>
      </c>
      <c r="F231" s="1060">
        <f>+'VA Profit'!H74</f>
        <v>7.6310877918341347E-2</v>
      </c>
      <c r="G231" s="1060">
        <f>+'TS Profit'!G74</f>
        <v>3.1026883501743452</v>
      </c>
      <c r="H231" s="1061">
        <f>+'TS Profit'!H74</f>
        <v>7.3873532147008217E-2</v>
      </c>
    </row>
  </sheetData>
  <mergeCells count="6">
    <mergeCell ref="C155:E155"/>
    <mergeCell ref="F155:H155"/>
    <mergeCell ref="D3:F3"/>
    <mergeCell ref="C216:D216"/>
    <mergeCell ref="E216:F216"/>
    <mergeCell ref="G216:H216"/>
  </mergeCells>
  <printOptions horizontalCentered="1"/>
  <pageMargins left="0.5" right="0.5" top="1" bottom="0.5" header="0.5" footer="0.5"/>
  <pageSetup orientation="portrait" r:id="rId1"/>
  <headerFooter alignWithMargins="0">
    <oddHeader>&amp;A</oddHeader>
    <oddFooter>&amp;L&amp; www.APPLES.MSU.EDU  &amp;F&amp;RPage &amp;P&amp;  of &amp;N</oddFooter>
  </headerFooter>
  <rowBreaks count="2" manualBreakCount="2">
    <brk id="105" max="16383" man="1"/>
    <brk id="153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I46"/>
  <sheetViews>
    <sheetView topLeftCell="B1" workbookViewId="0">
      <selection activeCell="H15" sqref="H15"/>
    </sheetView>
  </sheetViews>
  <sheetFormatPr defaultRowHeight="15" customHeight="1"/>
  <cols>
    <col min="3" max="4" width="10.5703125" bestFit="1" customWidth="1"/>
    <col min="6" max="6" width="5.42578125" customWidth="1"/>
    <col min="9" max="11" width="9" customWidth="1"/>
  </cols>
  <sheetData>
    <row r="1" spans="2:9" ht="15" customHeight="1">
      <c r="B1" s="98"/>
      <c r="C1" s="98"/>
      <c r="D1" s="98"/>
      <c r="G1" s="463" t="s">
        <v>691</v>
      </c>
    </row>
    <row r="2" spans="2:9" ht="15" customHeight="1">
      <c r="B2" s="98" t="s">
        <v>30</v>
      </c>
      <c r="C2" s="98" t="s">
        <v>52</v>
      </c>
      <c r="D2" s="98" t="s">
        <v>37</v>
      </c>
      <c r="G2" t="s">
        <v>30</v>
      </c>
      <c r="H2" t="s">
        <v>663</v>
      </c>
      <c r="I2" t="s">
        <v>664</v>
      </c>
    </row>
    <row r="3" spans="2:9" ht="15" customHeight="1">
      <c r="B3" s="98">
        <v>1970</v>
      </c>
      <c r="C3" s="465">
        <v>3.7</v>
      </c>
      <c r="D3" s="465">
        <v>3.9</v>
      </c>
      <c r="G3">
        <v>1970</v>
      </c>
      <c r="H3">
        <v>3.6999999999999998E-2</v>
      </c>
      <c r="I3">
        <v>12278</v>
      </c>
    </row>
    <row r="4" spans="2:9" ht="15" customHeight="1">
      <c r="B4" s="98">
        <f>+B3+1</f>
        <v>1971</v>
      </c>
      <c r="C4" s="465">
        <v>3.6</v>
      </c>
      <c r="D4" s="465">
        <f>+D3+0.133</f>
        <v>4.0329999999999995</v>
      </c>
      <c r="G4">
        <f>G3+1</f>
        <v>1971</v>
      </c>
      <c r="H4">
        <v>3.5999999999999997E-2</v>
      </c>
      <c r="I4">
        <v>13153</v>
      </c>
    </row>
    <row r="5" spans="2:9" ht="15" customHeight="1">
      <c r="B5" s="98">
        <f t="shared" ref="B5:B45" si="0">+B4+1</f>
        <v>1972</v>
      </c>
      <c r="C5" s="465">
        <v>4.3</v>
      </c>
      <c r="D5" s="465">
        <f>+D4+0.133</f>
        <v>4.1659999999999995</v>
      </c>
      <c r="G5">
        <f t="shared" ref="G5:G40" si="1">G4+1</f>
        <v>1972</v>
      </c>
      <c r="H5">
        <v>4.2999999999999997E-2</v>
      </c>
      <c r="I5">
        <v>13394</v>
      </c>
    </row>
    <row r="6" spans="2:9" ht="15" customHeight="1">
      <c r="B6" s="98">
        <f t="shared" si="0"/>
        <v>1973</v>
      </c>
      <c r="C6" s="465">
        <v>9.3000000000000007</v>
      </c>
      <c r="D6" s="465">
        <f>+D5+0.133</f>
        <v>4.2989999999999995</v>
      </c>
      <c r="G6">
        <f t="shared" si="1"/>
        <v>1973</v>
      </c>
      <c r="H6">
        <v>9.2999999999999999E-2</v>
      </c>
      <c r="I6">
        <v>8785</v>
      </c>
    </row>
    <row r="7" spans="2:9" ht="15" customHeight="1">
      <c r="B7" s="98">
        <f t="shared" si="0"/>
        <v>1974</v>
      </c>
      <c r="C7" s="465">
        <v>6.2</v>
      </c>
      <c r="D7" s="465">
        <f>+D6+0.133</f>
        <v>4.4319999999999995</v>
      </c>
      <c r="G7">
        <f t="shared" si="1"/>
        <v>1974</v>
      </c>
      <c r="H7">
        <v>6.2E-2</v>
      </c>
      <c r="I7">
        <v>12762</v>
      </c>
    </row>
    <row r="8" spans="2:9" ht="15" customHeight="1">
      <c r="B8" s="98">
        <f t="shared" si="0"/>
        <v>1975</v>
      </c>
      <c r="C8" s="465">
        <v>5.0999999999999996</v>
      </c>
      <c r="D8" s="465">
        <f>+D7+0.133</f>
        <v>4.5649999999999995</v>
      </c>
      <c r="G8">
        <f t="shared" si="1"/>
        <v>1975</v>
      </c>
      <c r="H8">
        <v>5.0999999999999997E-2</v>
      </c>
      <c r="I8">
        <v>13540</v>
      </c>
    </row>
    <row r="9" spans="2:9" ht="15" customHeight="1">
      <c r="B9" s="98">
        <f t="shared" si="0"/>
        <v>1976</v>
      </c>
      <c r="C9" s="465">
        <v>8.8000000000000007</v>
      </c>
      <c r="D9" s="465">
        <v>4.7</v>
      </c>
      <c r="G9">
        <f t="shared" si="1"/>
        <v>1976</v>
      </c>
      <c r="H9">
        <v>8.7999999999999995E-2</v>
      </c>
      <c r="I9">
        <v>9816</v>
      </c>
    </row>
    <row r="10" spans="2:9" ht="15" customHeight="1">
      <c r="B10" s="98">
        <f t="shared" si="0"/>
        <v>1977</v>
      </c>
      <c r="C10" s="465">
        <v>7.9</v>
      </c>
      <c r="D10" s="465">
        <f>+D9+0.5</f>
        <v>5.2</v>
      </c>
      <c r="G10">
        <f t="shared" si="1"/>
        <v>1977</v>
      </c>
      <c r="H10">
        <v>7.9000000000000001E-2</v>
      </c>
      <c r="I10">
        <v>12364</v>
      </c>
    </row>
    <row r="11" spans="2:9" ht="15" customHeight="1">
      <c r="B11" s="98">
        <f t="shared" si="0"/>
        <v>1978</v>
      </c>
      <c r="C11" s="465">
        <v>7.6</v>
      </c>
      <c r="D11" s="465">
        <f>+D10+0.5</f>
        <v>5.7</v>
      </c>
      <c r="G11">
        <f t="shared" si="1"/>
        <v>1978</v>
      </c>
      <c r="H11">
        <v>7.5999999999999998E-2</v>
      </c>
      <c r="I11">
        <v>21247</v>
      </c>
    </row>
    <row r="12" spans="2:9" ht="15" customHeight="1">
      <c r="B12" s="98">
        <f t="shared" si="0"/>
        <v>1979</v>
      </c>
      <c r="C12" s="465">
        <v>7.8</v>
      </c>
      <c r="D12" s="465">
        <v>6.2</v>
      </c>
      <c r="G12">
        <f t="shared" si="1"/>
        <v>1979</v>
      </c>
      <c r="H12">
        <v>7.8E-2</v>
      </c>
      <c r="I12">
        <v>16000</v>
      </c>
    </row>
    <row r="13" spans="2:9" ht="15" customHeight="1">
      <c r="B13" s="98">
        <f t="shared" si="0"/>
        <v>1980</v>
      </c>
      <c r="C13" s="465">
        <v>6.2</v>
      </c>
      <c r="D13" s="465">
        <f>+D12+1.12</f>
        <v>7.32</v>
      </c>
      <c r="G13">
        <f t="shared" si="1"/>
        <v>1980</v>
      </c>
      <c r="H13">
        <v>6.2E-2</v>
      </c>
      <c r="I13">
        <v>20930</v>
      </c>
    </row>
    <row r="14" spans="2:9" ht="15" customHeight="1">
      <c r="B14" s="98">
        <f t="shared" si="0"/>
        <v>1981</v>
      </c>
      <c r="C14" s="465">
        <v>9.1</v>
      </c>
      <c r="D14" s="465">
        <f>+D13+1.12</f>
        <v>8.4400000000000013</v>
      </c>
      <c r="G14">
        <f t="shared" si="1"/>
        <v>1981</v>
      </c>
      <c r="H14">
        <v>9.0999999999999998E-2</v>
      </c>
      <c r="I14">
        <v>15000</v>
      </c>
    </row>
    <row r="15" spans="2:9" ht="15" customHeight="1">
      <c r="B15" s="98">
        <f t="shared" si="0"/>
        <v>1982</v>
      </c>
      <c r="C15" s="465">
        <v>6.9</v>
      </c>
      <c r="D15" s="465">
        <f>+D14+1.12</f>
        <v>9.5600000000000023</v>
      </c>
      <c r="G15">
        <f t="shared" si="1"/>
        <v>1982</v>
      </c>
      <c r="H15">
        <v>6.9000000000000006E-2</v>
      </c>
      <c r="I15">
        <v>22022</v>
      </c>
    </row>
    <row r="16" spans="2:9" ht="15" customHeight="1">
      <c r="B16" s="98">
        <f t="shared" si="0"/>
        <v>1983</v>
      </c>
      <c r="C16" s="465">
        <v>7.7</v>
      </c>
      <c r="D16" s="465">
        <f>+D15+1.12</f>
        <v>10.680000000000003</v>
      </c>
      <c r="G16">
        <f t="shared" si="1"/>
        <v>1983</v>
      </c>
      <c r="H16">
        <v>7.6999999999999999E-2</v>
      </c>
      <c r="I16">
        <v>16816</v>
      </c>
    </row>
    <row r="17" spans="2:9" ht="15" customHeight="1">
      <c r="B17" s="98">
        <f t="shared" si="0"/>
        <v>1984</v>
      </c>
      <c r="C17" s="465">
        <v>8</v>
      </c>
      <c r="D17" s="465">
        <v>11.8</v>
      </c>
      <c r="G17">
        <f t="shared" si="1"/>
        <v>1984</v>
      </c>
      <c r="H17">
        <v>0.08</v>
      </c>
      <c r="I17">
        <v>17188</v>
      </c>
    </row>
    <row r="18" spans="2:9" ht="15" customHeight="1">
      <c r="B18" s="98">
        <f t="shared" si="0"/>
        <v>1985</v>
      </c>
      <c r="C18" s="465">
        <v>7.5</v>
      </c>
      <c r="D18" s="465">
        <f>+D17+0.14</f>
        <v>11.940000000000001</v>
      </c>
      <c r="G18">
        <f t="shared" si="1"/>
        <v>1985</v>
      </c>
      <c r="H18">
        <v>7.4999999999999997E-2</v>
      </c>
      <c r="I18">
        <v>23810</v>
      </c>
    </row>
    <row r="19" spans="2:9" ht="15" customHeight="1">
      <c r="B19" s="98">
        <f t="shared" si="0"/>
        <v>1986</v>
      </c>
      <c r="C19" s="465">
        <v>9.3000000000000007</v>
      </c>
      <c r="D19" s="465">
        <f>+D18+0.14</f>
        <v>12.080000000000002</v>
      </c>
      <c r="G19">
        <f t="shared" si="1"/>
        <v>1986</v>
      </c>
      <c r="H19">
        <v>9.2999999999999999E-2</v>
      </c>
      <c r="I19">
        <v>14785</v>
      </c>
    </row>
    <row r="20" spans="2:9" ht="15" customHeight="1">
      <c r="B20" s="98">
        <f t="shared" si="0"/>
        <v>1987</v>
      </c>
      <c r="C20" s="465">
        <v>7.6</v>
      </c>
      <c r="D20" s="465">
        <f>+D19+0.14</f>
        <v>12.220000000000002</v>
      </c>
      <c r="G20">
        <f t="shared" si="1"/>
        <v>1987</v>
      </c>
      <c r="H20">
        <v>7.5999999999999998E-2</v>
      </c>
      <c r="I20">
        <v>21212</v>
      </c>
    </row>
    <row r="21" spans="2:9" ht="15" customHeight="1">
      <c r="B21" s="98">
        <f t="shared" si="0"/>
        <v>1988</v>
      </c>
      <c r="C21" s="465">
        <v>8.8000000000000007</v>
      </c>
      <c r="D21" s="465">
        <f>+D20+0.14</f>
        <v>12.360000000000003</v>
      </c>
      <c r="G21">
        <f t="shared" si="1"/>
        <v>1988</v>
      </c>
      <c r="H21">
        <v>8.7999999999999995E-2</v>
      </c>
      <c r="I21">
        <v>16275</v>
      </c>
    </row>
    <row r="22" spans="2:9" ht="15" customHeight="1">
      <c r="B22" s="98">
        <f t="shared" si="0"/>
        <v>1989</v>
      </c>
      <c r="C22" s="465">
        <v>8.1999999999999993</v>
      </c>
      <c r="D22" s="465">
        <v>12.5</v>
      </c>
      <c r="G22">
        <f t="shared" si="1"/>
        <v>1989</v>
      </c>
      <c r="H22">
        <v>8.2000000000000003E-2</v>
      </c>
      <c r="I22">
        <v>18304</v>
      </c>
    </row>
    <row r="23" spans="2:9" ht="15" customHeight="1">
      <c r="B23" s="98">
        <f t="shared" si="0"/>
        <v>1990</v>
      </c>
      <c r="C23" s="465">
        <v>10.3</v>
      </c>
      <c r="D23" s="465">
        <f>+D22-0.125</f>
        <v>12.375</v>
      </c>
      <c r="G23">
        <f t="shared" si="1"/>
        <v>1990</v>
      </c>
      <c r="H23">
        <v>0.10299999999999999</v>
      </c>
      <c r="I23">
        <v>14395</v>
      </c>
    </row>
    <row r="24" spans="2:9" ht="15" customHeight="1">
      <c r="B24" s="98">
        <f t="shared" si="0"/>
        <v>1991</v>
      </c>
      <c r="C24" s="465">
        <v>10.9</v>
      </c>
      <c r="D24" s="465">
        <f t="shared" ref="D24:D29" si="2">+D23-0.125</f>
        <v>12.25</v>
      </c>
      <c r="G24">
        <f t="shared" si="1"/>
        <v>1991</v>
      </c>
      <c r="H24">
        <v>0.109</v>
      </c>
      <c r="I24">
        <v>16604</v>
      </c>
    </row>
    <row r="25" spans="2:9" ht="15" customHeight="1">
      <c r="B25" s="98">
        <f t="shared" si="0"/>
        <v>1992</v>
      </c>
      <c r="C25" s="465">
        <v>8.5</v>
      </c>
      <c r="D25" s="465">
        <f t="shared" si="2"/>
        <v>12.125</v>
      </c>
      <c r="G25">
        <f t="shared" si="1"/>
        <v>1992</v>
      </c>
      <c r="H25">
        <v>8.5000000000000006E-2</v>
      </c>
      <c r="I25">
        <v>20000</v>
      </c>
    </row>
    <row r="26" spans="2:9" ht="15" customHeight="1">
      <c r="B26" s="98">
        <f t="shared" si="0"/>
        <v>1993</v>
      </c>
      <c r="C26" s="465">
        <v>8.5</v>
      </c>
      <c r="D26" s="465">
        <f t="shared" si="2"/>
        <v>12</v>
      </c>
      <c r="G26">
        <f t="shared" si="1"/>
        <v>1993</v>
      </c>
      <c r="H26">
        <v>8.5000000000000006E-2</v>
      </c>
      <c r="I26">
        <v>18545</v>
      </c>
    </row>
    <row r="27" spans="2:9" ht="15" customHeight="1">
      <c r="B27" s="98">
        <f t="shared" si="0"/>
        <v>1994</v>
      </c>
      <c r="C27" s="465">
        <v>8.6</v>
      </c>
      <c r="D27" s="465">
        <f t="shared" si="2"/>
        <v>11.875</v>
      </c>
      <c r="G27">
        <f t="shared" si="1"/>
        <v>1994</v>
      </c>
      <c r="H27">
        <v>8.5999999999999993E-2</v>
      </c>
      <c r="I27">
        <v>18889</v>
      </c>
    </row>
    <row r="28" spans="2:9" ht="15" customHeight="1">
      <c r="B28" s="98">
        <f t="shared" si="0"/>
        <v>1995</v>
      </c>
      <c r="C28" s="465">
        <v>9.9</v>
      </c>
      <c r="D28" s="465">
        <f t="shared" si="2"/>
        <v>11.75</v>
      </c>
      <c r="G28">
        <f t="shared" si="1"/>
        <v>1995</v>
      </c>
      <c r="H28">
        <v>9.9000000000000005E-2</v>
      </c>
      <c r="I28">
        <v>22593</v>
      </c>
    </row>
    <row r="29" spans="2:9" ht="15" customHeight="1">
      <c r="B29" s="98">
        <f t="shared" si="0"/>
        <v>1996</v>
      </c>
      <c r="C29" s="465">
        <v>12</v>
      </c>
      <c r="D29" s="465">
        <f t="shared" si="2"/>
        <v>11.625</v>
      </c>
      <c r="G29">
        <f t="shared" si="1"/>
        <v>1996</v>
      </c>
      <c r="H29">
        <v>0.126</v>
      </c>
      <c r="I29">
        <v>13000</v>
      </c>
    </row>
    <row r="30" spans="2:9" ht="15" customHeight="1">
      <c r="B30" s="98">
        <f t="shared" si="0"/>
        <v>1997</v>
      </c>
      <c r="C30" s="465">
        <f t="shared" ref="C30:C40" si="3">+H30*100</f>
        <v>9.8000000000000007</v>
      </c>
      <c r="D30" s="465">
        <v>11.5</v>
      </c>
      <c r="E30">
        <f>+D41-D30</f>
        <v>1.5</v>
      </c>
      <c r="G30">
        <f t="shared" si="1"/>
        <v>1997</v>
      </c>
      <c r="H30">
        <v>9.8000000000000004E-2</v>
      </c>
      <c r="I30">
        <v>18500</v>
      </c>
    </row>
    <row r="31" spans="2:9" ht="15" customHeight="1">
      <c r="B31" s="98">
        <f t="shared" si="0"/>
        <v>1998</v>
      </c>
      <c r="C31" s="465">
        <f t="shared" si="3"/>
        <v>8.6999999999999993</v>
      </c>
      <c r="D31" s="465">
        <f>+$E$30*1/$E$40+D30</f>
        <v>11.65</v>
      </c>
      <c r="E31">
        <v>1</v>
      </c>
      <c r="G31">
        <f t="shared" si="1"/>
        <v>1998</v>
      </c>
      <c r="H31">
        <v>8.6999999999999994E-2</v>
      </c>
      <c r="I31">
        <v>18500</v>
      </c>
    </row>
    <row r="32" spans="2:9" ht="15" customHeight="1">
      <c r="B32" s="98">
        <f t="shared" si="0"/>
        <v>1999</v>
      </c>
      <c r="C32" s="465">
        <f t="shared" si="3"/>
        <v>8.7999999999999989</v>
      </c>
      <c r="D32" s="465">
        <f t="shared" ref="D32:D40" si="4">+$E$30*1/$E$40+D31</f>
        <v>11.8</v>
      </c>
      <c r="E32">
        <v>2</v>
      </c>
      <c r="G32">
        <f t="shared" si="1"/>
        <v>1999</v>
      </c>
      <c r="H32">
        <v>8.7999999999999995E-2</v>
      </c>
      <c r="I32">
        <v>23100</v>
      </c>
    </row>
    <row r="33" spans="2:9" ht="15" customHeight="1">
      <c r="B33" s="98">
        <f t="shared" si="0"/>
        <v>2000</v>
      </c>
      <c r="C33" s="465">
        <f t="shared" si="3"/>
        <v>9.3000000000000007</v>
      </c>
      <c r="D33" s="465">
        <f t="shared" si="4"/>
        <v>11.950000000000001</v>
      </c>
      <c r="E33">
        <v>3</v>
      </c>
      <c r="G33">
        <f t="shared" si="1"/>
        <v>2000</v>
      </c>
      <c r="H33">
        <v>9.2999999999999999E-2</v>
      </c>
      <c r="I33">
        <v>16500</v>
      </c>
    </row>
    <row r="34" spans="2:9" ht="15" customHeight="1">
      <c r="B34" s="98">
        <f t="shared" si="0"/>
        <v>2001</v>
      </c>
      <c r="C34" s="465">
        <f t="shared" si="3"/>
        <v>9.4</v>
      </c>
      <c r="D34" s="465">
        <f t="shared" si="4"/>
        <v>12.100000000000001</v>
      </c>
      <c r="E34">
        <v>4</v>
      </c>
      <c r="G34">
        <f t="shared" si="1"/>
        <v>2001</v>
      </c>
      <c r="H34">
        <v>9.4E-2</v>
      </c>
      <c r="I34">
        <v>20200</v>
      </c>
    </row>
    <row r="35" spans="2:9" ht="15" customHeight="1">
      <c r="B35" s="98">
        <f t="shared" si="0"/>
        <v>2002</v>
      </c>
      <c r="C35" s="465">
        <f t="shared" si="3"/>
        <v>12.4</v>
      </c>
      <c r="D35" s="465">
        <f t="shared" si="4"/>
        <v>12.250000000000002</v>
      </c>
      <c r="E35">
        <v>5</v>
      </c>
      <c r="G35">
        <f t="shared" si="1"/>
        <v>2002</v>
      </c>
      <c r="H35">
        <v>0.124</v>
      </c>
      <c r="I35">
        <v>12000</v>
      </c>
    </row>
    <row r="36" spans="2:9" ht="15" customHeight="1">
      <c r="B36" s="98">
        <f t="shared" si="0"/>
        <v>2003</v>
      </c>
      <c r="C36" s="465">
        <f t="shared" si="3"/>
        <v>11.700000000000001</v>
      </c>
      <c r="D36" s="465">
        <f t="shared" si="4"/>
        <v>12.400000000000002</v>
      </c>
      <c r="E36">
        <v>6</v>
      </c>
      <c r="G36">
        <f t="shared" si="1"/>
        <v>2003</v>
      </c>
      <c r="H36">
        <v>0.11700000000000001</v>
      </c>
      <c r="I36">
        <v>21400</v>
      </c>
    </row>
    <row r="37" spans="2:9" ht="15" customHeight="1">
      <c r="B37" s="98">
        <f t="shared" si="0"/>
        <v>2004</v>
      </c>
      <c r="C37" s="465">
        <f t="shared" si="3"/>
        <v>12.3</v>
      </c>
      <c r="D37" s="465">
        <f t="shared" si="4"/>
        <v>12.550000000000002</v>
      </c>
      <c r="E37">
        <v>7</v>
      </c>
      <c r="G37">
        <f t="shared" si="1"/>
        <v>2004</v>
      </c>
      <c r="H37">
        <v>0.123</v>
      </c>
      <c r="I37">
        <v>18000</v>
      </c>
    </row>
    <row r="38" spans="2:9" ht="15" customHeight="1">
      <c r="B38" s="98">
        <f t="shared" si="0"/>
        <v>2005</v>
      </c>
      <c r="C38" s="465">
        <f t="shared" si="3"/>
        <v>12.6</v>
      </c>
      <c r="D38" s="465">
        <f t="shared" si="4"/>
        <v>12.700000000000003</v>
      </c>
      <c r="E38">
        <v>8</v>
      </c>
      <c r="G38">
        <f t="shared" si="1"/>
        <v>2005</v>
      </c>
      <c r="H38">
        <v>0.126</v>
      </c>
      <c r="I38">
        <v>19000</v>
      </c>
    </row>
    <row r="39" spans="2:9" ht="15" customHeight="1">
      <c r="B39" s="98">
        <f t="shared" si="0"/>
        <v>2006</v>
      </c>
      <c r="C39" s="465">
        <f t="shared" si="3"/>
        <v>14.7</v>
      </c>
      <c r="D39" s="465">
        <f t="shared" si="4"/>
        <v>12.850000000000003</v>
      </c>
      <c r="E39">
        <v>9</v>
      </c>
      <c r="G39">
        <f t="shared" si="1"/>
        <v>2006</v>
      </c>
      <c r="H39">
        <v>0.14699999999999999</v>
      </c>
      <c r="I39">
        <v>23200</v>
      </c>
    </row>
    <row r="40" spans="2:9" ht="15" customHeight="1">
      <c r="B40" s="98">
        <f t="shared" si="0"/>
        <v>2007</v>
      </c>
      <c r="C40" s="465">
        <f t="shared" si="3"/>
        <v>16.8</v>
      </c>
      <c r="D40" s="465">
        <f t="shared" si="4"/>
        <v>13.000000000000004</v>
      </c>
      <c r="E40">
        <v>10</v>
      </c>
      <c r="G40">
        <f t="shared" si="1"/>
        <v>2007</v>
      </c>
      <c r="H40">
        <v>0.16800000000000001</v>
      </c>
      <c r="I40">
        <v>22000</v>
      </c>
    </row>
    <row r="41" spans="2:9" ht="15" customHeight="1">
      <c r="B41" s="98">
        <f t="shared" si="0"/>
        <v>2008</v>
      </c>
      <c r="C41" s="1015">
        <f>850/90</f>
        <v>9.4444444444444446</v>
      </c>
      <c r="D41" s="1015">
        <v>13</v>
      </c>
    </row>
    <row r="42" spans="2:9" ht="15" customHeight="1">
      <c r="B42" s="98">
        <f t="shared" si="0"/>
        <v>2009</v>
      </c>
      <c r="C42" s="1015">
        <v>10</v>
      </c>
      <c r="D42" s="1015">
        <v>13</v>
      </c>
    </row>
    <row r="43" spans="2:9" ht="15" customHeight="1">
      <c r="B43" s="98">
        <f t="shared" si="0"/>
        <v>2010</v>
      </c>
      <c r="C43" s="98"/>
      <c r="D43" s="98"/>
    </row>
    <row r="44" spans="2:9" ht="15" customHeight="1">
      <c r="B44" s="98">
        <f t="shared" si="0"/>
        <v>2011</v>
      </c>
      <c r="C44" s="98"/>
      <c r="D44" s="98"/>
    </row>
    <row r="45" spans="2:9" ht="15" customHeight="1">
      <c r="B45" s="98">
        <f t="shared" si="0"/>
        <v>2012</v>
      </c>
      <c r="C45" s="98"/>
      <c r="D45" s="98"/>
    </row>
    <row r="46" spans="2:9" ht="15" customHeight="1">
      <c r="C46" s="104" t="s">
        <v>675</v>
      </c>
    </row>
  </sheetData>
  <phoneticPr fontId="0" type="noConversion"/>
  <printOptions horizontalCentered="1"/>
  <pageMargins left="0.5" right="0.5" top="1" bottom="0.5" header="0.5" footer="0.5"/>
  <pageSetup orientation="portrait" horizontalDpi="300" verticalDpi="300" r:id="rId1"/>
  <headerFooter alignWithMargins="0">
    <oddHeader>&amp;A</oddHeader>
    <oddFooter>&amp;L&amp; www.APPLES.MSU.EDU  &amp;F&amp;RPage &amp;P&amp; 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8"/>
  <sheetViews>
    <sheetView workbookViewId="0">
      <pane ySplit="8" topLeftCell="A15" activePane="bottomLeft" state="frozen"/>
      <selection activeCell="H15" sqref="H15"/>
      <selection pane="bottomLeft" activeCell="M18" sqref="M18"/>
    </sheetView>
  </sheetViews>
  <sheetFormatPr defaultRowHeight="12.75"/>
  <cols>
    <col min="1" max="1" width="7.140625" customWidth="1"/>
    <col min="2" max="2" width="5.85546875" customWidth="1"/>
    <col min="3" max="3" width="26.5703125" customWidth="1"/>
    <col min="4" max="4" width="7.28515625" customWidth="1"/>
    <col min="5" max="10" width="1.42578125" customWidth="1"/>
    <col min="11" max="11" width="7.85546875" customWidth="1"/>
    <col min="12" max="12" width="5.7109375" customWidth="1"/>
    <col min="13" max="13" width="8" customWidth="1"/>
    <col min="14" max="16" width="1.85546875" customWidth="1"/>
  </cols>
  <sheetData>
    <row r="1" spans="1:17">
      <c r="A1" s="496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41"/>
    </row>
    <row r="2" spans="1:17">
      <c r="A2" s="489">
        <v>2</v>
      </c>
      <c r="B2" s="100" t="s">
        <v>423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56"/>
    </row>
    <row r="3" spans="1:17">
      <c r="A3" s="489">
        <v>3</v>
      </c>
      <c r="B3" s="100" t="s">
        <v>424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56"/>
    </row>
    <row r="4" spans="1:17">
      <c r="A4" s="489">
        <v>4</v>
      </c>
      <c r="B4" s="100" t="s">
        <v>425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56"/>
    </row>
    <row r="5" spans="1:17">
      <c r="A5" s="489">
        <v>5</v>
      </c>
      <c r="B5" s="100" t="s">
        <v>426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56"/>
    </row>
    <row r="6" spans="1:17">
      <c r="A6" s="489">
        <v>6</v>
      </c>
      <c r="B6" s="100" t="s">
        <v>427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56"/>
    </row>
    <row r="7" spans="1:17">
      <c r="A7" s="1064">
        <v>7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1299" t="s">
        <v>185</v>
      </c>
      <c r="N7" s="338"/>
      <c r="O7" s="338"/>
      <c r="P7" s="338"/>
      <c r="Q7" s="1065"/>
    </row>
    <row r="8" spans="1:17" ht="45.6" customHeight="1">
      <c r="A8" s="1169">
        <v>8</v>
      </c>
      <c r="B8" s="1300" t="s">
        <v>202</v>
      </c>
      <c r="C8" s="1300" t="s">
        <v>428</v>
      </c>
      <c r="D8" s="1300" t="s">
        <v>429</v>
      </c>
      <c r="E8" s="1300"/>
      <c r="F8" s="1300"/>
      <c r="G8" s="1300"/>
      <c r="H8" s="1300"/>
      <c r="I8" s="1300"/>
      <c r="J8" s="1300"/>
      <c r="K8" s="1300" t="s">
        <v>430</v>
      </c>
      <c r="L8" s="1300" t="s">
        <v>431</v>
      </c>
      <c r="M8" s="1300" t="s">
        <v>711</v>
      </c>
      <c r="N8" s="1300"/>
      <c r="O8" s="1300"/>
      <c r="P8" s="1300"/>
      <c r="Q8" s="1301" t="s">
        <v>432</v>
      </c>
    </row>
    <row r="9" spans="1:17">
      <c r="A9" s="496">
        <v>9</v>
      </c>
      <c r="B9" s="328"/>
      <c r="C9" s="328"/>
      <c r="D9" s="328"/>
      <c r="E9" s="328"/>
      <c r="F9" s="328"/>
      <c r="G9" s="328"/>
      <c r="H9" s="328"/>
      <c r="I9" s="1302"/>
      <c r="J9" s="328"/>
      <c r="K9" s="328"/>
      <c r="L9" s="328"/>
      <c r="M9" s="328"/>
      <c r="N9" s="328"/>
      <c r="O9" s="328"/>
      <c r="P9" s="328"/>
      <c r="Q9" s="341"/>
    </row>
    <row r="10" spans="1:17">
      <c r="A10" s="489">
        <v>10</v>
      </c>
      <c r="B10" s="100" t="s">
        <v>433</v>
      </c>
      <c r="C10" s="100" t="s">
        <v>434</v>
      </c>
      <c r="D10" s="100" t="s">
        <v>435</v>
      </c>
      <c r="E10" s="1296"/>
      <c r="F10" s="1296"/>
      <c r="G10" s="1296"/>
      <c r="H10" s="1296"/>
      <c r="I10" s="1296"/>
      <c r="J10" s="1296"/>
      <c r="K10" s="100">
        <v>2.75</v>
      </c>
      <c r="L10" s="100" t="s">
        <v>184</v>
      </c>
      <c r="M10" s="100">
        <v>5.43</v>
      </c>
      <c r="N10" s="1296"/>
      <c r="O10" s="1296"/>
      <c r="P10" s="1296"/>
      <c r="Q10" s="1297">
        <v>14.932499999999999</v>
      </c>
    </row>
    <row r="11" spans="1:17">
      <c r="A11" s="489">
        <v>11</v>
      </c>
      <c r="B11" s="100" t="s">
        <v>433</v>
      </c>
      <c r="C11" s="100" t="s">
        <v>434</v>
      </c>
      <c r="D11" s="100" t="s">
        <v>435</v>
      </c>
      <c r="E11" s="1296"/>
      <c r="F11" s="1296"/>
      <c r="G11" s="1296"/>
      <c r="H11" s="1296"/>
      <c r="I11" s="1296"/>
      <c r="J11" s="1296"/>
      <c r="K11" s="100">
        <v>4.5</v>
      </c>
      <c r="L11" s="100" t="s">
        <v>184</v>
      </c>
      <c r="M11" s="100">
        <v>5.43</v>
      </c>
      <c r="N11" s="1296"/>
      <c r="O11" s="1296"/>
      <c r="P11" s="1296"/>
      <c r="Q11" s="1297">
        <v>24.434999999999999</v>
      </c>
    </row>
    <row r="12" spans="1:17">
      <c r="A12" s="489">
        <v>12</v>
      </c>
      <c r="B12" s="100" t="s">
        <v>433</v>
      </c>
      <c r="C12" s="100" t="s">
        <v>434</v>
      </c>
      <c r="D12" s="100" t="s">
        <v>435</v>
      </c>
      <c r="E12" s="1296"/>
      <c r="F12" s="1296"/>
      <c r="G12" s="1296"/>
      <c r="H12" s="1296"/>
      <c r="I12" s="1296"/>
      <c r="J12" s="1296"/>
      <c r="K12" s="100">
        <v>5.5</v>
      </c>
      <c r="L12" s="100" t="s">
        <v>184</v>
      </c>
      <c r="M12" s="100">
        <v>5.43</v>
      </c>
      <c r="N12" s="1296"/>
      <c r="O12" s="1296"/>
      <c r="P12" s="1296"/>
      <c r="Q12" s="1297">
        <v>29.864999999999998</v>
      </c>
    </row>
    <row r="13" spans="1:17">
      <c r="A13" s="489">
        <v>13</v>
      </c>
      <c r="B13" s="100" t="s">
        <v>433</v>
      </c>
      <c r="C13" s="100" t="s">
        <v>436</v>
      </c>
      <c r="D13" s="100" t="s">
        <v>437</v>
      </c>
      <c r="E13" s="1296"/>
      <c r="F13" s="1296"/>
      <c r="G13" s="1296"/>
      <c r="H13" s="1296"/>
      <c r="I13" s="1296"/>
      <c r="J13" s="1296"/>
      <c r="K13" s="100">
        <v>10</v>
      </c>
      <c r="L13" s="100" t="s">
        <v>184</v>
      </c>
      <c r="M13" s="100">
        <v>3.96578125</v>
      </c>
      <c r="N13" s="1296"/>
      <c r="O13" s="1296"/>
      <c r="P13" s="1296"/>
      <c r="Q13" s="1297">
        <v>39.657812499999999</v>
      </c>
    </row>
    <row r="14" spans="1:17">
      <c r="A14" s="489">
        <v>14</v>
      </c>
      <c r="B14" s="100" t="s">
        <v>438</v>
      </c>
      <c r="C14" s="100" t="s">
        <v>439</v>
      </c>
      <c r="D14" s="100" t="s">
        <v>440</v>
      </c>
      <c r="E14" s="1296"/>
      <c r="F14" s="1296"/>
      <c r="G14" s="1296"/>
      <c r="H14" s="1296"/>
      <c r="I14" s="1296"/>
      <c r="J14" s="1296"/>
      <c r="K14" s="100">
        <v>1.5</v>
      </c>
      <c r="L14" s="100" t="s">
        <v>217</v>
      </c>
      <c r="M14" s="100">
        <v>15.255000000000001</v>
      </c>
      <c r="N14" s="1296"/>
      <c r="O14" s="1296"/>
      <c r="P14" s="1296"/>
      <c r="Q14" s="1297">
        <v>22.8825</v>
      </c>
    </row>
    <row r="15" spans="1:17">
      <c r="A15" s="489">
        <v>15</v>
      </c>
      <c r="B15" s="100" t="s">
        <v>441</v>
      </c>
      <c r="C15" s="100" t="s">
        <v>442</v>
      </c>
      <c r="D15" s="100" t="s">
        <v>443</v>
      </c>
      <c r="E15" s="1296"/>
      <c r="F15" s="1296"/>
      <c r="G15" s="1296"/>
      <c r="H15" s="1296"/>
      <c r="I15" s="1296"/>
      <c r="J15" s="1296"/>
      <c r="K15" s="100">
        <v>1</v>
      </c>
      <c r="L15" s="100" t="s">
        <v>184</v>
      </c>
      <c r="M15" s="100">
        <v>5.9700000000000006</v>
      </c>
      <c r="N15" s="1296"/>
      <c r="O15" s="1296"/>
      <c r="P15" s="1296"/>
      <c r="Q15" s="1297">
        <v>5.9700000000000006</v>
      </c>
    </row>
    <row r="16" spans="1:17">
      <c r="A16" s="489">
        <v>16</v>
      </c>
      <c r="B16" s="100" t="s">
        <v>441</v>
      </c>
      <c r="C16" s="100" t="s">
        <v>442</v>
      </c>
      <c r="D16" s="100" t="s">
        <v>443</v>
      </c>
      <c r="E16" s="1296"/>
      <c r="F16" s="1296"/>
      <c r="G16" s="1296"/>
      <c r="H16" s="1296"/>
      <c r="I16" s="1296"/>
      <c r="J16" s="1296"/>
      <c r="K16" s="100">
        <v>0.5</v>
      </c>
      <c r="L16" s="100" t="s">
        <v>184</v>
      </c>
      <c r="M16" s="100">
        <v>5.9700000000000006</v>
      </c>
      <c r="N16" s="1296"/>
      <c r="O16" s="1296"/>
      <c r="P16" s="1296"/>
      <c r="Q16" s="1297">
        <v>2.9850000000000003</v>
      </c>
    </row>
    <row r="17" spans="1:17">
      <c r="A17" s="489">
        <v>17</v>
      </c>
      <c r="B17" s="100" t="s">
        <v>433</v>
      </c>
      <c r="C17" s="100" t="s">
        <v>444</v>
      </c>
      <c r="D17" s="100"/>
      <c r="E17" s="1296"/>
      <c r="F17" s="1296"/>
      <c r="G17" s="1296"/>
      <c r="H17" s="1296"/>
      <c r="I17" s="1296"/>
      <c r="J17" s="1296"/>
      <c r="K17" s="100">
        <v>3</v>
      </c>
      <c r="L17" s="100" t="s">
        <v>184</v>
      </c>
      <c r="M17" s="100">
        <v>11</v>
      </c>
      <c r="N17" s="1296"/>
      <c r="O17" s="1296"/>
      <c r="P17" s="1296"/>
      <c r="Q17" s="1297">
        <f>12.75*2</f>
        <v>25.5</v>
      </c>
    </row>
    <row r="18" spans="1:17">
      <c r="A18" s="489">
        <v>18</v>
      </c>
      <c r="B18" s="100" t="s">
        <v>438</v>
      </c>
      <c r="C18" s="100" t="s">
        <v>445</v>
      </c>
      <c r="D18" s="100" t="s">
        <v>446</v>
      </c>
      <c r="E18" s="1296"/>
      <c r="F18" s="1296"/>
      <c r="G18" s="1296"/>
      <c r="H18" s="1296"/>
      <c r="I18" s="1296"/>
      <c r="J18" s="100"/>
      <c r="K18" s="100"/>
      <c r="L18" s="100" t="s">
        <v>217</v>
      </c>
      <c r="M18" s="100"/>
      <c r="N18" s="1296"/>
      <c r="O18" s="1296"/>
      <c r="P18" s="100"/>
      <c r="Q18" s="1297"/>
    </row>
    <row r="19" spans="1:17">
      <c r="A19" s="489">
        <v>19</v>
      </c>
      <c r="B19" s="100" t="s">
        <v>447</v>
      </c>
      <c r="C19" s="100" t="s">
        <v>448</v>
      </c>
      <c r="D19" s="100" t="s">
        <v>449</v>
      </c>
      <c r="E19" s="1296"/>
      <c r="F19" s="1296"/>
      <c r="G19" s="1296"/>
      <c r="H19" s="1296"/>
      <c r="I19" s="1296"/>
      <c r="J19" s="100"/>
      <c r="K19" s="100"/>
      <c r="L19" s="100" t="s">
        <v>217</v>
      </c>
      <c r="M19" s="100"/>
      <c r="N19" s="1296"/>
      <c r="O19" s="1296"/>
      <c r="P19" s="100"/>
      <c r="Q19" s="1297"/>
    </row>
    <row r="20" spans="1:17">
      <c r="A20" s="489">
        <v>20</v>
      </c>
      <c r="B20" s="100" t="s">
        <v>441</v>
      </c>
      <c r="C20" s="100" t="s">
        <v>450</v>
      </c>
      <c r="D20" s="100" t="s">
        <v>451</v>
      </c>
      <c r="E20" s="1296"/>
      <c r="F20" s="1296"/>
      <c r="G20" s="1296"/>
      <c r="H20" s="1296"/>
      <c r="I20" s="1296"/>
      <c r="J20" s="1296"/>
      <c r="K20" s="100">
        <v>3</v>
      </c>
      <c r="L20" s="100" t="s">
        <v>204</v>
      </c>
      <c r="M20" s="100">
        <v>2.046875</v>
      </c>
      <c r="N20" s="1296"/>
      <c r="O20" s="1296"/>
      <c r="P20" s="1296"/>
      <c r="Q20" s="1297">
        <v>6.140625</v>
      </c>
    </row>
    <row r="21" spans="1:17">
      <c r="A21" s="489">
        <v>21</v>
      </c>
      <c r="B21" s="100" t="s">
        <v>447</v>
      </c>
      <c r="C21" s="100" t="s">
        <v>452</v>
      </c>
      <c r="D21" s="100" t="s">
        <v>446</v>
      </c>
      <c r="E21" s="1296"/>
      <c r="F21" s="1296"/>
      <c r="G21" s="1296"/>
      <c r="H21" s="1296"/>
      <c r="I21" s="1296"/>
      <c r="J21" s="1296"/>
      <c r="K21" s="100">
        <v>12</v>
      </c>
      <c r="L21" s="100" t="s">
        <v>184</v>
      </c>
      <c r="M21" s="100">
        <v>3.3931249999999999</v>
      </c>
      <c r="N21" s="1296"/>
      <c r="O21" s="1296"/>
      <c r="P21" s="1296"/>
      <c r="Q21" s="1297">
        <v>40.717500000000001</v>
      </c>
    </row>
    <row r="22" spans="1:17">
      <c r="A22" s="489">
        <v>22</v>
      </c>
      <c r="B22" s="100" t="s">
        <v>438</v>
      </c>
      <c r="C22" s="100" t="s">
        <v>453</v>
      </c>
      <c r="D22" s="100" t="s">
        <v>454</v>
      </c>
      <c r="E22" s="1296"/>
      <c r="F22" s="1296"/>
      <c r="G22" s="100"/>
      <c r="H22" s="1296"/>
      <c r="I22" s="1296"/>
      <c r="J22" s="1296"/>
      <c r="K22" s="100">
        <v>2.8</v>
      </c>
      <c r="L22" s="100" t="s">
        <v>217</v>
      </c>
      <c r="M22" s="100">
        <v>7</v>
      </c>
      <c r="N22" s="1296"/>
      <c r="O22" s="1296"/>
      <c r="P22" s="1296"/>
      <c r="Q22" s="1297">
        <v>19.599999999999998</v>
      </c>
    </row>
    <row r="23" spans="1:17">
      <c r="A23" s="489">
        <v>23</v>
      </c>
      <c r="B23" s="100"/>
      <c r="C23" s="100" t="s">
        <v>455</v>
      </c>
      <c r="D23" s="100" t="s">
        <v>456</v>
      </c>
      <c r="E23" s="1296"/>
      <c r="F23" s="1296"/>
      <c r="G23" s="1296"/>
      <c r="H23" s="1296"/>
      <c r="I23" s="1296"/>
      <c r="J23" s="1296"/>
      <c r="K23" s="100"/>
      <c r="L23" s="100" t="s">
        <v>204</v>
      </c>
      <c r="M23" s="100"/>
      <c r="N23" s="1296"/>
      <c r="O23" s="1296"/>
      <c r="P23" s="1296"/>
      <c r="Q23" s="1297"/>
    </row>
    <row r="24" spans="1:17">
      <c r="A24" s="489">
        <v>24</v>
      </c>
      <c r="B24" s="100" t="s">
        <v>433</v>
      </c>
      <c r="C24" s="100" t="s">
        <v>457</v>
      </c>
      <c r="D24" s="100" t="s">
        <v>437</v>
      </c>
      <c r="E24" s="1296"/>
      <c r="F24" s="1296"/>
      <c r="G24" s="1296"/>
      <c r="H24" s="1296"/>
      <c r="I24" s="1296"/>
      <c r="J24" s="1296"/>
      <c r="K24" s="100">
        <v>12.8</v>
      </c>
      <c r="L24" s="100" t="s">
        <v>184</v>
      </c>
      <c r="M24" s="100">
        <v>0.75390625</v>
      </c>
      <c r="N24" s="1296"/>
      <c r="O24" s="1296"/>
      <c r="P24" s="1296"/>
      <c r="Q24" s="1297">
        <v>9.65</v>
      </c>
    </row>
    <row r="25" spans="1:17">
      <c r="A25" s="489">
        <v>25</v>
      </c>
      <c r="B25" s="100" t="s">
        <v>433</v>
      </c>
      <c r="C25" s="100" t="s">
        <v>458</v>
      </c>
      <c r="D25" s="100" t="s">
        <v>459</v>
      </c>
      <c r="E25" s="1296"/>
      <c r="F25" s="1296"/>
      <c r="G25" s="1296"/>
      <c r="H25" s="1296"/>
      <c r="I25" s="1296"/>
      <c r="J25" s="1296"/>
      <c r="K25" s="100">
        <v>2.5</v>
      </c>
      <c r="L25" s="100" t="s">
        <v>184</v>
      </c>
      <c r="M25" s="100">
        <v>6.2466666666666661</v>
      </c>
      <c r="N25" s="1296"/>
      <c r="O25" s="1296"/>
      <c r="P25" s="1296"/>
      <c r="Q25" s="1297">
        <v>15.616666666666665</v>
      </c>
    </row>
    <row r="26" spans="1:17">
      <c r="A26" s="489">
        <v>26</v>
      </c>
      <c r="B26" s="100" t="s">
        <v>433</v>
      </c>
      <c r="C26" s="100" t="s">
        <v>458</v>
      </c>
      <c r="D26" s="100" t="s">
        <v>459</v>
      </c>
      <c r="E26" s="1296"/>
      <c r="F26" s="1296"/>
      <c r="G26" s="1296"/>
      <c r="H26" s="1296"/>
      <c r="I26" s="1296"/>
      <c r="J26" s="1296"/>
      <c r="K26" s="100">
        <v>6</v>
      </c>
      <c r="L26" s="100" t="s">
        <v>184</v>
      </c>
      <c r="M26" s="100">
        <v>6.2466666666666661</v>
      </c>
      <c r="N26" s="1296"/>
      <c r="O26" s="1296"/>
      <c r="P26" s="1296"/>
      <c r="Q26" s="1297">
        <v>37.479999999999997</v>
      </c>
    </row>
    <row r="27" spans="1:17">
      <c r="A27" s="489">
        <v>27</v>
      </c>
      <c r="B27" s="100" t="s">
        <v>433</v>
      </c>
      <c r="C27" s="100" t="s">
        <v>460</v>
      </c>
      <c r="D27" s="100" t="s">
        <v>461</v>
      </c>
      <c r="E27" s="1296"/>
      <c r="F27" s="1296"/>
      <c r="G27" s="1296"/>
      <c r="H27" s="1296"/>
      <c r="I27" s="1296"/>
      <c r="J27" s="1296"/>
      <c r="K27" s="100"/>
      <c r="L27" s="100" t="s">
        <v>184</v>
      </c>
      <c r="M27" s="100"/>
      <c r="N27" s="1296"/>
      <c r="O27" s="1296"/>
      <c r="P27" s="1296"/>
      <c r="Q27" s="1297"/>
    </row>
    <row r="28" spans="1:17">
      <c r="A28" s="489">
        <v>28</v>
      </c>
      <c r="B28" s="100" t="s">
        <v>433</v>
      </c>
      <c r="C28" s="100" t="s">
        <v>462</v>
      </c>
      <c r="D28" s="100" t="s">
        <v>446</v>
      </c>
      <c r="E28" s="1296"/>
      <c r="F28" s="1296"/>
      <c r="G28" s="1296"/>
      <c r="H28" s="1296"/>
      <c r="I28" s="1296"/>
      <c r="J28" s="1296"/>
      <c r="K28" s="100">
        <v>2</v>
      </c>
      <c r="L28" s="100" t="s">
        <v>217</v>
      </c>
      <c r="M28" s="100">
        <v>10.193333333333333</v>
      </c>
      <c r="N28" s="1296"/>
      <c r="O28" s="1296"/>
      <c r="P28" s="1296"/>
      <c r="Q28" s="1297">
        <v>20.386666666666667</v>
      </c>
    </row>
    <row r="29" spans="1:17">
      <c r="A29" s="489">
        <v>29</v>
      </c>
      <c r="B29" s="100" t="s">
        <v>433</v>
      </c>
      <c r="C29" s="100" t="s">
        <v>463</v>
      </c>
      <c r="D29" s="100" t="s">
        <v>437</v>
      </c>
      <c r="E29" s="1296"/>
      <c r="F29" s="1296"/>
      <c r="G29" s="100"/>
      <c r="H29" s="1296"/>
      <c r="I29" s="1296"/>
      <c r="J29" s="1296"/>
      <c r="K29" s="100">
        <v>12.8</v>
      </c>
      <c r="L29" s="100" t="s">
        <v>184</v>
      </c>
      <c r="M29" s="100">
        <v>0.6640625</v>
      </c>
      <c r="N29" s="1296"/>
      <c r="O29" s="1296"/>
      <c r="P29" s="1296"/>
      <c r="Q29" s="1297">
        <v>8.5</v>
      </c>
    </row>
    <row r="30" spans="1:17">
      <c r="A30" s="489">
        <v>30</v>
      </c>
      <c r="B30" s="100" t="s">
        <v>433</v>
      </c>
      <c r="C30" s="100" t="s">
        <v>464</v>
      </c>
      <c r="D30" s="100" t="s">
        <v>437</v>
      </c>
      <c r="E30" s="1296"/>
      <c r="F30" s="1296"/>
      <c r="G30" s="1296"/>
      <c r="H30" s="1296"/>
      <c r="I30" s="1296"/>
      <c r="J30" s="1296"/>
      <c r="K30" s="100">
        <v>2.8</v>
      </c>
      <c r="L30" s="100" t="s">
        <v>184</v>
      </c>
      <c r="M30" s="100">
        <v>2.4765625</v>
      </c>
      <c r="N30" s="1296"/>
      <c r="O30" s="1296"/>
      <c r="P30" s="1296"/>
      <c r="Q30" s="1297">
        <v>6.9343749999999993</v>
      </c>
    </row>
    <row r="31" spans="1:17">
      <c r="A31" s="489">
        <v>31</v>
      </c>
      <c r="B31" s="100" t="s">
        <v>433</v>
      </c>
      <c r="C31" s="100" t="s">
        <v>465</v>
      </c>
      <c r="D31" s="100" t="s">
        <v>451</v>
      </c>
      <c r="E31" s="1296"/>
      <c r="F31" s="1296"/>
      <c r="G31" s="1296"/>
      <c r="H31" s="1296"/>
      <c r="I31" s="1296"/>
      <c r="J31" s="1296"/>
      <c r="K31" s="100">
        <v>6</v>
      </c>
      <c r="L31" s="100" t="s">
        <v>189</v>
      </c>
      <c r="M31" s="100">
        <v>8.75</v>
      </c>
      <c r="N31" s="1296"/>
      <c r="O31" s="1296"/>
      <c r="P31" s="1296"/>
      <c r="Q31" s="1297">
        <v>52.5</v>
      </c>
    </row>
    <row r="32" spans="1:17">
      <c r="A32" s="489">
        <v>32</v>
      </c>
      <c r="B32" s="100" t="s">
        <v>433</v>
      </c>
      <c r="C32" s="100" t="s">
        <v>188</v>
      </c>
      <c r="D32" s="100" t="s">
        <v>466</v>
      </c>
      <c r="E32" s="1296"/>
      <c r="F32" s="1296"/>
      <c r="G32" s="1296"/>
      <c r="H32" s="1296"/>
      <c r="I32" s="1296"/>
      <c r="J32" s="1296"/>
      <c r="K32" s="100">
        <v>6</v>
      </c>
      <c r="L32" s="100" t="s">
        <v>189</v>
      </c>
      <c r="M32" s="100">
        <v>6.95</v>
      </c>
      <c r="N32" s="1296"/>
      <c r="O32" s="1296"/>
      <c r="P32" s="1296"/>
      <c r="Q32" s="1297">
        <v>41.7</v>
      </c>
    </row>
    <row r="33" spans="1:17">
      <c r="A33" s="489">
        <v>33</v>
      </c>
      <c r="B33" s="100" t="s">
        <v>433</v>
      </c>
      <c r="C33" s="100" t="s">
        <v>465</v>
      </c>
      <c r="D33" s="100" t="s">
        <v>467</v>
      </c>
      <c r="E33" s="1296"/>
      <c r="F33" s="1296"/>
      <c r="G33" s="1296"/>
      <c r="H33" s="1296"/>
      <c r="I33" s="1296"/>
      <c r="J33" s="1296"/>
      <c r="K33" s="100">
        <v>6</v>
      </c>
      <c r="L33" s="100" t="s">
        <v>189</v>
      </c>
      <c r="M33" s="100">
        <v>5.8</v>
      </c>
      <c r="N33" s="1296"/>
      <c r="O33" s="1296"/>
      <c r="P33" s="1296"/>
      <c r="Q33" s="1297">
        <v>34.799999999999997</v>
      </c>
    </row>
    <row r="34" spans="1:17">
      <c r="A34" s="489">
        <v>34</v>
      </c>
      <c r="B34" s="100" t="s">
        <v>433</v>
      </c>
      <c r="C34" s="100" t="s">
        <v>468</v>
      </c>
      <c r="D34" s="100" t="s">
        <v>437</v>
      </c>
      <c r="E34" s="1296"/>
      <c r="F34" s="1296"/>
      <c r="G34" s="1296"/>
      <c r="H34" s="1296"/>
      <c r="I34" s="1296"/>
      <c r="J34" s="1296"/>
      <c r="K34" s="100">
        <v>2</v>
      </c>
      <c r="L34" s="100" t="s">
        <v>184</v>
      </c>
      <c r="M34" s="100">
        <v>6.0398958333333326</v>
      </c>
      <c r="N34" s="1296"/>
      <c r="O34" s="1296"/>
      <c r="P34" s="1296"/>
      <c r="Q34" s="1297">
        <v>12.079791666666665</v>
      </c>
    </row>
    <row r="35" spans="1:17">
      <c r="A35" s="489">
        <v>35</v>
      </c>
      <c r="B35" s="100" t="s">
        <v>433</v>
      </c>
      <c r="C35" s="100" t="s">
        <v>468</v>
      </c>
      <c r="D35" s="100" t="s">
        <v>437</v>
      </c>
      <c r="E35" s="1296"/>
      <c r="F35" s="1296"/>
      <c r="G35" s="1296"/>
      <c r="H35" s="1296"/>
      <c r="I35" s="1296"/>
      <c r="J35" s="1296"/>
      <c r="K35" s="100">
        <v>4</v>
      </c>
      <c r="L35" s="100" t="s">
        <v>184</v>
      </c>
      <c r="M35" s="100">
        <v>6.0398958333333326</v>
      </c>
      <c r="N35" s="1296"/>
      <c r="O35" s="1296"/>
      <c r="P35" s="1296"/>
      <c r="Q35" s="1297">
        <v>24.15958333333333</v>
      </c>
    </row>
    <row r="36" spans="1:17">
      <c r="A36" s="489">
        <v>36</v>
      </c>
      <c r="B36" s="100" t="s">
        <v>433</v>
      </c>
      <c r="C36" s="100" t="s">
        <v>468</v>
      </c>
      <c r="D36" s="100" t="s">
        <v>437</v>
      </c>
      <c r="E36" s="1296"/>
      <c r="F36" s="1296"/>
      <c r="G36" s="1296"/>
      <c r="H36" s="1296"/>
      <c r="I36" s="1296"/>
      <c r="J36" s="1296"/>
      <c r="K36" s="100">
        <v>6</v>
      </c>
      <c r="L36" s="100" t="s">
        <v>184</v>
      </c>
      <c r="M36" s="100">
        <v>6.0398958333333326</v>
      </c>
      <c r="N36" s="1296"/>
      <c r="O36" s="1296"/>
      <c r="P36" s="1296"/>
      <c r="Q36" s="1297">
        <v>36.239374999999995</v>
      </c>
    </row>
    <row r="37" spans="1:17">
      <c r="A37" s="489">
        <v>37</v>
      </c>
      <c r="B37" s="100" t="s">
        <v>438</v>
      </c>
      <c r="C37" s="100" t="s">
        <v>207</v>
      </c>
      <c r="D37" s="100" t="s">
        <v>469</v>
      </c>
      <c r="E37" s="1296"/>
      <c r="F37" s="1296"/>
      <c r="G37" s="1296"/>
      <c r="H37" s="1296"/>
      <c r="I37" s="1296"/>
      <c r="J37" s="1296"/>
      <c r="K37" s="100">
        <v>3</v>
      </c>
      <c r="L37" s="100" t="s">
        <v>217</v>
      </c>
      <c r="M37" s="100">
        <v>3.4033333333333329</v>
      </c>
      <c r="N37" s="1296"/>
      <c r="O37" s="1296"/>
      <c r="P37" s="1296"/>
      <c r="Q37" s="1297">
        <v>10.209999999999999</v>
      </c>
    </row>
    <row r="38" spans="1:17">
      <c r="A38" s="489">
        <v>38</v>
      </c>
      <c r="B38" s="100" t="s">
        <v>438</v>
      </c>
      <c r="C38" s="100" t="s">
        <v>207</v>
      </c>
      <c r="D38" s="100" t="s">
        <v>469</v>
      </c>
      <c r="E38" s="1296"/>
      <c r="F38" s="1296"/>
      <c r="G38" s="1296"/>
      <c r="H38" s="1296"/>
      <c r="I38" s="1296"/>
      <c r="J38" s="1296"/>
      <c r="K38" s="100">
        <v>6</v>
      </c>
      <c r="L38" s="100" t="s">
        <v>217</v>
      </c>
      <c r="M38" s="100">
        <v>3.4033333333333329</v>
      </c>
      <c r="N38" s="1296"/>
      <c r="O38" s="1296"/>
      <c r="P38" s="1296"/>
      <c r="Q38" s="1297">
        <v>20.419999999999998</v>
      </c>
    </row>
    <row r="39" spans="1:17">
      <c r="A39" s="489">
        <v>39</v>
      </c>
      <c r="B39" s="100" t="s">
        <v>438</v>
      </c>
      <c r="C39" s="100" t="s">
        <v>470</v>
      </c>
      <c r="D39" s="100" t="s">
        <v>469</v>
      </c>
      <c r="E39" s="1296"/>
      <c r="F39" s="1296"/>
      <c r="G39" s="1296"/>
      <c r="H39" s="1296"/>
      <c r="I39" s="1296"/>
      <c r="J39" s="1296"/>
      <c r="K39" s="100">
        <v>1.875</v>
      </c>
      <c r="L39" s="100" t="s">
        <v>217</v>
      </c>
      <c r="M39" s="100">
        <v>5.38</v>
      </c>
      <c r="N39" s="1296"/>
      <c r="O39" s="1296"/>
      <c r="P39" s="1296"/>
      <c r="Q39" s="1297">
        <v>10.0875</v>
      </c>
    </row>
    <row r="40" spans="1:17">
      <c r="A40" s="489">
        <v>40</v>
      </c>
      <c r="B40" s="100" t="s">
        <v>438</v>
      </c>
      <c r="C40" s="100" t="s">
        <v>470</v>
      </c>
      <c r="D40" s="100" t="s">
        <v>469</v>
      </c>
      <c r="E40" s="1296"/>
      <c r="F40" s="1296"/>
      <c r="G40" s="1296"/>
      <c r="H40" s="1296"/>
      <c r="I40" s="1296"/>
      <c r="J40" s="1296"/>
      <c r="K40" s="100">
        <v>3.75</v>
      </c>
      <c r="L40" s="100" t="s">
        <v>217</v>
      </c>
      <c r="M40" s="100">
        <v>5.38</v>
      </c>
      <c r="N40" s="1296"/>
      <c r="O40" s="1296"/>
      <c r="P40" s="1296"/>
      <c r="Q40" s="1297">
        <v>20.175000000000001</v>
      </c>
    </row>
    <row r="41" spans="1:17">
      <c r="A41" s="489">
        <v>41</v>
      </c>
      <c r="B41" s="100" t="s">
        <v>438</v>
      </c>
      <c r="C41" s="100" t="s">
        <v>471</v>
      </c>
      <c r="D41" s="100" t="s">
        <v>451</v>
      </c>
      <c r="E41" s="1296"/>
      <c r="F41" s="1296"/>
      <c r="G41" s="1296"/>
      <c r="H41" s="1296"/>
      <c r="I41" s="1296"/>
      <c r="J41" s="1296"/>
      <c r="K41" s="100">
        <v>6</v>
      </c>
      <c r="L41" s="100" t="s">
        <v>204</v>
      </c>
      <c r="M41" s="100">
        <v>3.9937499999999999</v>
      </c>
      <c r="N41" s="1296"/>
      <c r="O41" s="1296"/>
      <c r="P41" s="1296"/>
      <c r="Q41" s="1297">
        <v>23.962499999999999</v>
      </c>
    </row>
    <row r="42" spans="1:17">
      <c r="A42" s="489">
        <v>42</v>
      </c>
      <c r="B42" s="100" t="s">
        <v>447</v>
      </c>
      <c r="C42" s="100" t="s">
        <v>472</v>
      </c>
      <c r="D42" s="100" t="s">
        <v>451</v>
      </c>
      <c r="E42" s="1296"/>
      <c r="F42" s="1296"/>
      <c r="G42" s="1296"/>
      <c r="H42" s="1296"/>
      <c r="I42" s="1296"/>
      <c r="J42" s="1296"/>
      <c r="K42" s="100">
        <v>2</v>
      </c>
      <c r="L42" s="100" t="s">
        <v>204</v>
      </c>
      <c r="M42" s="100">
        <v>4.75</v>
      </c>
      <c r="N42" s="1296"/>
      <c r="O42" s="1296"/>
      <c r="P42" s="1296"/>
      <c r="Q42" s="1297">
        <v>9.5</v>
      </c>
    </row>
    <row r="43" spans="1:17">
      <c r="A43" s="489">
        <v>43</v>
      </c>
      <c r="B43" s="100" t="s">
        <v>433</v>
      </c>
      <c r="C43" s="100" t="s">
        <v>473</v>
      </c>
      <c r="D43" s="100" t="s">
        <v>474</v>
      </c>
      <c r="E43" s="1296"/>
      <c r="F43" s="1296"/>
      <c r="G43" s="1296"/>
      <c r="H43" s="1296"/>
      <c r="I43" s="1296"/>
      <c r="J43" s="1296"/>
      <c r="K43" s="100">
        <v>6.7</v>
      </c>
      <c r="L43" s="100" t="s">
        <v>184</v>
      </c>
      <c r="M43" s="100">
        <v>2.2200000000000002</v>
      </c>
      <c r="N43" s="1296"/>
      <c r="O43" s="1296"/>
      <c r="P43" s="1296"/>
      <c r="Q43" s="1297">
        <v>14.874000000000002</v>
      </c>
    </row>
    <row r="44" spans="1:17">
      <c r="A44" s="489">
        <v>44</v>
      </c>
      <c r="B44" s="100" t="s">
        <v>441</v>
      </c>
      <c r="C44" s="100" t="s">
        <v>475</v>
      </c>
      <c r="D44" s="100" t="s">
        <v>476</v>
      </c>
      <c r="E44" s="1296"/>
      <c r="F44" s="1296"/>
      <c r="G44" s="1296"/>
      <c r="H44" s="1296"/>
      <c r="I44" s="1296"/>
      <c r="J44" s="1296"/>
      <c r="K44" s="100">
        <v>12</v>
      </c>
      <c r="L44" s="100" t="s">
        <v>184</v>
      </c>
      <c r="M44" s="100">
        <v>5.7946874999999993</v>
      </c>
      <c r="N44" s="1296"/>
      <c r="O44" s="1296"/>
      <c r="P44" s="1296"/>
      <c r="Q44" s="1297">
        <v>69.536249999999995</v>
      </c>
    </row>
    <row r="45" spans="1:17">
      <c r="A45" s="489">
        <v>45</v>
      </c>
      <c r="B45" s="100" t="s">
        <v>438</v>
      </c>
      <c r="C45" s="100" t="s">
        <v>477</v>
      </c>
      <c r="D45" s="100" t="s">
        <v>478</v>
      </c>
      <c r="E45" s="1296"/>
      <c r="F45" s="1296"/>
      <c r="G45" s="1296"/>
      <c r="H45" s="1296"/>
      <c r="I45" s="1296"/>
      <c r="J45" s="1296"/>
      <c r="K45" s="100">
        <v>6</v>
      </c>
      <c r="L45" s="100" t="s">
        <v>217</v>
      </c>
      <c r="M45" s="100">
        <v>3.5500000000000003</v>
      </c>
      <c r="N45" s="1296"/>
      <c r="O45" s="1296"/>
      <c r="P45" s="1296"/>
      <c r="Q45" s="1297">
        <v>21.3</v>
      </c>
    </row>
    <row r="46" spans="1:17">
      <c r="A46" s="489">
        <v>46</v>
      </c>
      <c r="B46" s="100" t="s">
        <v>438</v>
      </c>
      <c r="C46" s="100" t="s">
        <v>477</v>
      </c>
      <c r="D46" s="100" t="s">
        <v>478</v>
      </c>
      <c r="E46" s="1296"/>
      <c r="F46" s="1296"/>
      <c r="G46" s="1296"/>
      <c r="H46" s="1296"/>
      <c r="I46" s="1296"/>
      <c r="J46" s="1296"/>
      <c r="K46" s="100">
        <v>8</v>
      </c>
      <c r="L46" s="100" t="s">
        <v>217</v>
      </c>
      <c r="M46" s="100">
        <v>3.55</v>
      </c>
      <c r="N46" s="1296"/>
      <c r="O46" s="1296"/>
      <c r="P46" s="1296"/>
      <c r="Q46" s="1297">
        <v>28.4</v>
      </c>
    </row>
    <row r="47" spans="1:17">
      <c r="A47" s="489">
        <v>47</v>
      </c>
      <c r="B47" s="100" t="s">
        <v>433</v>
      </c>
      <c r="C47" s="100" t="s">
        <v>479</v>
      </c>
      <c r="D47" s="100" t="s">
        <v>451</v>
      </c>
      <c r="E47" s="1296"/>
      <c r="F47" s="1296"/>
      <c r="G47" s="1296"/>
      <c r="H47" s="100"/>
      <c r="I47" s="1296"/>
      <c r="J47" s="1296"/>
      <c r="K47" s="100"/>
      <c r="L47" s="100" t="s">
        <v>189</v>
      </c>
      <c r="M47" s="100"/>
      <c r="N47" s="1296"/>
      <c r="O47" s="1296"/>
      <c r="P47" s="1296"/>
      <c r="Q47" s="1297"/>
    </row>
    <row r="48" spans="1:17">
      <c r="A48" s="489">
        <v>48</v>
      </c>
      <c r="B48" s="100" t="s">
        <v>433</v>
      </c>
      <c r="C48" s="100" t="s">
        <v>607</v>
      </c>
      <c r="D48" s="100" t="s">
        <v>443</v>
      </c>
      <c r="E48" s="1296"/>
      <c r="F48" s="1296"/>
      <c r="G48" s="1296"/>
      <c r="H48" s="1296"/>
      <c r="I48" s="1296"/>
      <c r="J48" s="1296"/>
      <c r="K48" s="100">
        <v>1.6</v>
      </c>
      <c r="L48" s="100" t="s">
        <v>184</v>
      </c>
      <c r="M48" s="100">
        <v>10.046250000000001</v>
      </c>
      <c r="N48" s="1296"/>
      <c r="O48" s="1296"/>
      <c r="P48" s="1296"/>
      <c r="Q48" s="1297">
        <v>16.074000000000002</v>
      </c>
    </row>
    <row r="49" spans="1:17">
      <c r="A49" s="489">
        <v>49</v>
      </c>
      <c r="B49" s="100" t="s">
        <v>433</v>
      </c>
      <c r="C49" s="100" t="s">
        <v>480</v>
      </c>
      <c r="D49" s="100" t="s">
        <v>466</v>
      </c>
      <c r="E49" s="1296"/>
      <c r="F49" s="1296"/>
      <c r="G49" s="1296"/>
      <c r="H49" s="100"/>
      <c r="I49" s="1296"/>
      <c r="J49" s="1296"/>
      <c r="K49" s="100"/>
      <c r="L49" s="100"/>
      <c r="M49" s="100"/>
      <c r="N49" s="1296"/>
      <c r="O49" s="1296"/>
      <c r="P49" s="1296"/>
      <c r="Q49" s="1297"/>
    </row>
    <row r="50" spans="1:17">
      <c r="A50" s="393">
        <v>50</v>
      </c>
      <c r="B50" s="334" t="s">
        <v>433</v>
      </c>
      <c r="C50" s="334" t="s">
        <v>481</v>
      </c>
      <c r="D50" s="334" t="s">
        <v>437</v>
      </c>
      <c r="E50" s="1298"/>
      <c r="F50" s="1298"/>
      <c r="G50" s="1298"/>
      <c r="H50" s="1298"/>
      <c r="I50" s="1298"/>
      <c r="J50" s="1298"/>
      <c r="K50" s="334">
        <v>16</v>
      </c>
      <c r="L50" s="334" t="s">
        <v>184</v>
      </c>
      <c r="M50" s="334">
        <v>1.21875</v>
      </c>
      <c r="N50" s="1298"/>
      <c r="O50" s="1298"/>
      <c r="P50" s="1298"/>
      <c r="Q50" s="1303">
        <v>19.5</v>
      </c>
    </row>
    <row r="51" spans="1:17">
      <c r="A51" s="496">
        <v>51</v>
      </c>
      <c r="B51" s="328" t="s">
        <v>433</v>
      </c>
      <c r="C51" s="328" t="s">
        <v>482</v>
      </c>
      <c r="D51" s="328" t="s">
        <v>483</v>
      </c>
      <c r="E51" s="1302"/>
      <c r="F51" s="1302"/>
      <c r="G51" s="1302"/>
      <c r="H51" s="1302"/>
      <c r="I51" s="1302"/>
      <c r="J51" s="1302"/>
      <c r="K51" s="328">
        <v>7</v>
      </c>
      <c r="L51" s="328" t="s">
        <v>184</v>
      </c>
      <c r="M51" s="328">
        <v>6.7566666666666677</v>
      </c>
      <c r="N51" s="1302"/>
      <c r="O51" s="1302"/>
      <c r="P51" s="1302"/>
      <c r="Q51" s="1304">
        <v>47.296666666666674</v>
      </c>
    </row>
    <row r="52" spans="1:17">
      <c r="A52" s="489">
        <v>52</v>
      </c>
      <c r="B52" s="100" t="s">
        <v>433</v>
      </c>
      <c r="C52" s="100" t="s">
        <v>484</v>
      </c>
      <c r="D52" s="100" t="s">
        <v>476</v>
      </c>
      <c r="E52" s="1296"/>
      <c r="F52" s="1296"/>
      <c r="G52" s="1296"/>
      <c r="H52" s="1296"/>
      <c r="I52" s="1296"/>
      <c r="J52" s="1296"/>
      <c r="K52" s="100">
        <v>0.75</v>
      </c>
      <c r="L52" s="100" t="s">
        <v>217</v>
      </c>
      <c r="M52" s="100">
        <v>17.13</v>
      </c>
      <c r="N52" s="1296"/>
      <c r="O52" s="1296"/>
      <c r="P52" s="1296"/>
      <c r="Q52" s="1297">
        <v>12.8475</v>
      </c>
    </row>
    <row r="53" spans="1:17">
      <c r="A53" s="489">
        <v>53</v>
      </c>
      <c r="B53" s="100" t="s">
        <v>433</v>
      </c>
      <c r="C53" s="100" t="s">
        <v>484</v>
      </c>
      <c r="D53" s="100" t="s">
        <v>476</v>
      </c>
      <c r="E53" s="1296"/>
      <c r="F53" s="1296"/>
      <c r="G53" s="1296"/>
      <c r="H53" s="1296"/>
      <c r="I53" s="1296"/>
      <c r="J53" s="1296"/>
      <c r="K53" s="100">
        <v>1</v>
      </c>
      <c r="L53" s="100" t="s">
        <v>217</v>
      </c>
      <c r="M53" s="100">
        <v>17.13</v>
      </c>
      <c r="N53" s="1296"/>
      <c r="O53" s="1296"/>
      <c r="P53" s="1296"/>
      <c r="Q53" s="1297">
        <v>17.13</v>
      </c>
    </row>
    <row r="54" spans="1:17">
      <c r="A54" s="489">
        <v>54</v>
      </c>
      <c r="B54" s="100" t="s">
        <v>433</v>
      </c>
      <c r="C54" s="100" t="s">
        <v>485</v>
      </c>
      <c r="D54" s="100" t="s">
        <v>446</v>
      </c>
      <c r="E54" s="1296"/>
      <c r="F54" s="1296"/>
      <c r="G54" s="1296"/>
      <c r="H54" s="1296"/>
      <c r="I54" s="1296"/>
      <c r="J54" s="1296"/>
      <c r="K54" s="100">
        <v>1.5</v>
      </c>
      <c r="L54" s="100" t="s">
        <v>217</v>
      </c>
      <c r="M54" s="100">
        <v>10.893333333333333</v>
      </c>
      <c r="N54" s="1296"/>
      <c r="O54" s="1296"/>
      <c r="P54" s="1296"/>
      <c r="Q54" s="1297">
        <v>16.34</v>
      </c>
    </row>
    <row r="55" spans="1:17">
      <c r="A55" s="489">
        <v>55</v>
      </c>
      <c r="B55" s="100" t="s">
        <v>433</v>
      </c>
      <c r="C55" s="100" t="s">
        <v>485</v>
      </c>
      <c r="D55" s="100" t="s">
        <v>446</v>
      </c>
      <c r="E55" s="1296"/>
      <c r="F55" s="1296"/>
      <c r="G55" s="1296"/>
      <c r="H55" s="1296"/>
      <c r="I55" s="1296"/>
      <c r="J55" s="1296"/>
      <c r="K55" s="100">
        <v>2</v>
      </c>
      <c r="L55" s="100" t="s">
        <v>217</v>
      </c>
      <c r="M55" s="100">
        <v>10.893333333333333</v>
      </c>
      <c r="N55" s="1296"/>
      <c r="O55" s="1296"/>
      <c r="P55" s="1296"/>
      <c r="Q55" s="1297">
        <v>21.786666666666665</v>
      </c>
    </row>
    <row r="56" spans="1:17">
      <c r="A56" s="489">
        <v>56</v>
      </c>
      <c r="B56" s="100" t="s">
        <v>438</v>
      </c>
      <c r="C56" s="100" t="s">
        <v>486</v>
      </c>
      <c r="D56" s="100" t="s">
        <v>469</v>
      </c>
      <c r="E56" s="1296"/>
      <c r="F56" s="1296"/>
      <c r="G56" s="1296"/>
      <c r="H56" s="1296"/>
      <c r="I56" s="1296"/>
      <c r="J56" s="1296"/>
      <c r="K56" s="100">
        <v>6</v>
      </c>
      <c r="L56" s="100" t="s">
        <v>217</v>
      </c>
      <c r="M56" s="100">
        <v>3.875</v>
      </c>
      <c r="N56" s="1296"/>
      <c r="O56" s="1296"/>
      <c r="P56" s="1296"/>
      <c r="Q56" s="1297">
        <v>23.25</v>
      </c>
    </row>
    <row r="57" spans="1:17">
      <c r="A57" s="489">
        <v>57</v>
      </c>
      <c r="B57" s="100" t="s">
        <v>441</v>
      </c>
      <c r="C57" s="100" t="s">
        <v>487</v>
      </c>
      <c r="D57" s="100" t="s">
        <v>451</v>
      </c>
      <c r="E57" s="1296"/>
      <c r="F57" s="1296"/>
      <c r="G57" s="1296"/>
      <c r="H57" s="1296"/>
      <c r="I57" s="1296"/>
      <c r="J57" s="1296"/>
      <c r="K57" s="100">
        <v>2</v>
      </c>
      <c r="L57" s="100" t="s">
        <v>201</v>
      </c>
      <c r="M57" s="100">
        <v>5.5</v>
      </c>
      <c r="N57" s="1296"/>
      <c r="O57" s="1296"/>
      <c r="P57" s="1296"/>
      <c r="Q57" s="1297">
        <v>11</v>
      </c>
    </row>
    <row r="58" spans="1:17">
      <c r="A58" s="489">
        <v>58</v>
      </c>
      <c r="B58" s="100" t="s">
        <v>441</v>
      </c>
      <c r="C58" s="100" t="s">
        <v>488</v>
      </c>
      <c r="D58" s="100" t="s">
        <v>446</v>
      </c>
      <c r="E58" s="1296"/>
      <c r="F58" s="1296"/>
      <c r="G58" s="1296"/>
      <c r="H58" s="1296"/>
      <c r="I58" s="1296"/>
      <c r="J58" s="1296"/>
      <c r="K58" s="100"/>
      <c r="L58" s="100"/>
      <c r="M58" s="100"/>
      <c r="N58" s="1296"/>
      <c r="O58" s="1296"/>
      <c r="P58" s="1296"/>
      <c r="Q58" s="1297"/>
    </row>
    <row r="59" spans="1:17">
      <c r="A59" s="489">
        <v>59</v>
      </c>
      <c r="B59" s="100" t="s">
        <v>438</v>
      </c>
      <c r="C59" s="100" t="s">
        <v>489</v>
      </c>
      <c r="D59" s="100" t="s">
        <v>440</v>
      </c>
      <c r="E59" s="1296"/>
      <c r="F59" s="1296"/>
      <c r="G59" s="1296"/>
      <c r="H59" s="1296"/>
      <c r="I59" s="1296"/>
      <c r="J59" s="1296"/>
      <c r="K59" s="100">
        <v>6</v>
      </c>
      <c r="L59" s="100" t="s">
        <v>184</v>
      </c>
      <c r="M59" s="100">
        <v>3.3341666666666665</v>
      </c>
      <c r="N59" s="1296"/>
      <c r="O59" s="1296"/>
      <c r="P59" s="1296"/>
      <c r="Q59" s="1297">
        <v>20.004999999999999</v>
      </c>
    </row>
    <row r="60" spans="1:17">
      <c r="A60" s="489">
        <v>60</v>
      </c>
      <c r="B60" s="100" t="s">
        <v>433</v>
      </c>
      <c r="C60" s="100" t="s">
        <v>490</v>
      </c>
      <c r="D60" s="100" t="s">
        <v>437</v>
      </c>
      <c r="E60" s="1296"/>
      <c r="F60" s="1296"/>
      <c r="G60" s="1296"/>
      <c r="H60" s="1296"/>
      <c r="I60" s="1296"/>
      <c r="J60" s="1296"/>
      <c r="K60" s="100">
        <v>16</v>
      </c>
      <c r="L60" s="100" t="s">
        <v>184</v>
      </c>
      <c r="M60" s="100">
        <v>2.2152083333333334</v>
      </c>
      <c r="N60" s="1296"/>
      <c r="O60" s="1296"/>
      <c r="P60" s="1296"/>
      <c r="Q60" s="1297">
        <v>35.443333333333335</v>
      </c>
    </row>
    <row r="61" spans="1:17">
      <c r="A61" s="489">
        <v>61</v>
      </c>
      <c r="B61" s="100" t="s">
        <v>438</v>
      </c>
      <c r="C61" s="100" t="s">
        <v>491</v>
      </c>
      <c r="D61" s="100" t="s">
        <v>440</v>
      </c>
      <c r="E61" s="1296"/>
      <c r="F61" s="1296"/>
      <c r="G61" s="1296"/>
      <c r="H61" s="1296"/>
      <c r="I61" s="1296"/>
      <c r="J61" s="1296"/>
      <c r="K61" s="100">
        <v>1.5</v>
      </c>
      <c r="L61" s="100" t="s">
        <v>217</v>
      </c>
      <c r="M61" s="100">
        <v>16.2</v>
      </c>
      <c r="N61" s="1296"/>
      <c r="O61" s="1296"/>
      <c r="P61" s="1296"/>
      <c r="Q61" s="1297">
        <v>24.3</v>
      </c>
    </row>
    <row r="62" spans="1:17">
      <c r="A62" s="489">
        <v>62</v>
      </c>
      <c r="B62" s="100" t="s">
        <v>438</v>
      </c>
      <c r="C62" s="100" t="s">
        <v>492</v>
      </c>
      <c r="D62" s="100" t="s">
        <v>440</v>
      </c>
      <c r="E62" s="1296"/>
      <c r="F62" s="1296"/>
      <c r="G62" s="1296"/>
      <c r="H62" s="1296"/>
      <c r="I62" s="1296"/>
      <c r="J62" s="1296"/>
      <c r="K62" s="100">
        <v>1.5</v>
      </c>
      <c r="L62" s="100" t="s">
        <v>217</v>
      </c>
      <c r="M62" s="100">
        <v>26.5</v>
      </c>
      <c r="N62" s="1296"/>
      <c r="O62" s="1296"/>
      <c r="P62" s="1296"/>
      <c r="Q62" s="1297">
        <v>39.75</v>
      </c>
    </row>
    <row r="63" spans="1:17">
      <c r="A63" s="489">
        <v>63</v>
      </c>
      <c r="B63" s="100" t="s">
        <v>438</v>
      </c>
      <c r="C63" s="100" t="s">
        <v>493</v>
      </c>
      <c r="D63" s="100" t="s">
        <v>494</v>
      </c>
      <c r="E63" s="1296"/>
      <c r="F63" s="1296"/>
      <c r="G63" s="1296"/>
      <c r="H63" s="1296"/>
      <c r="I63" s="1296"/>
      <c r="J63" s="1296"/>
      <c r="K63" s="100">
        <v>5</v>
      </c>
      <c r="L63" s="100" t="s">
        <v>184</v>
      </c>
      <c r="M63" s="100">
        <v>4.2</v>
      </c>
      <c r="N63" s="1296"/>
      <c r="O63" s="1296"/>
      <c r="P63" s="1296"/>
      <c r="Q63" s="1297">
        <v>21</v>
      </c>
    </row>
    <row r="64" spans="1:17">
      <c r="A64" s="489">
        <v>64</v>
      </c>
      <c r="B64" s="100" t="s">
        <v>447</v>
      </c>
      <c r="C64" s="100" t="s">
        <v>495</v>
      </c>
      <c r="D64" s="100" t="s">
        <v>437</v>
      </c>
      <c r="E64" s="1296"/>
      <c r="F64" s="1296"/>
      <c r="G64" s="1296"/>
      <c r="H64" s="1296"/>
      <c r="I64" s="1296"/>
      <c r="J64" s="1296"/>
      <c r="K64" s="100"/>
      <c r="L64" s="100"/>
      <c r="M64" s="100"/>
      <c r="N64" s="1296"/>
      <c r="O64" s="1296"/>
      <c r="P64" s="1296"/>
      <c r="Q64" s="1297"/>
    </row>
    <row r="65" spans="1:17">
      <c r="A65" s="489">
        <v>65</v>
      </c>
      <c r="B65" s="100" t="s">
        <v>447</v>
      </c>
      <c r="C65" s="100" t="s">
        <v>496</v>
      </c>
      <c r="D65" s="100" t="s">
        <v>497</v>
      </c>
      <c r="E65" s="1296"/>
      <c r="F65" s="1296"/>
      <c r="G65" s="1296"/>
      <c r="H65" s="1296"/>
      <c r="I65" s="1296"/>
      <c r="J65" s="1296"/>
      <c r="K65" s="100">
        <v>4</v>
      </c>
      <c r="L65" s="100" t="s">
        <v>184</v>
      </c>
      <c r="M65" s="100">
        <v>2.605</v>
      </c>
      <c r="N65" s="1296"/>
      <c r="O65" s="1296"/>
      <c r="P65" s="1296"/>
      <c r="Q65" s="1297">
        <v>10.42</v>
      </c>
    </row>
    <row r="66" spans="1:17">
      <c r="A66" s="489">
        <v>66</v>
      </c>
      <c r="B66" s="100" t="s">
        <v>433</v>
      </c>
      <c r="C66" s="100" t="s">
        <v>498</v>
      </c>
      <c r="D66" s="100" t="s">
        <v>451</v>
      </c>
      <c r="E66" s="1296"/>
      <c r="F66" s="1296"/>
      <c r="G66" s="1296"/>
      <c r="H66" s="1296"/>
      <c r="I66" s="1296"/>
      <c r="J66" s="1296"/>
      <c r="K66" s="100"/>
      <c r="L66" s="100"/>
      <c r="M66" s="100"/>
      <c r="N66" s="1296"/>
      <c r="O66" s="1296"/>
      <c r="P66" s="1296"/>
      <c r="Q66" s="1297"/>
    </row>
    <row r="67" spans="1:17">
      <c r="A67" s="489">
        <v>67</v>
      </c>
      <c r="B67" s="100" t="s">
        <v>438</v>
      </c>
      <c r="C67" s="100" t="s">
        <v>499</v>
      </c>
      <c r="D67" s="100" t="s">
        <v>459</v>
      </c>
      <c r="E67" s="1296"/>
      <c r="F67" s="1296"/>
      <c r="G67" s="1296"/>
      <c r="H67" s="1296"/>
      <c r="I67" s="1296"/>
      <c r="J67" s="1296"/>
      <c r="K67" s="100">
        <v>2</v>
      </c>
      <c r="L67" s="100" t="s">
        <v>184</v>
      </c>
      <c r="M67" s="100">
        <v>7.85</v>
      </c>
      <c r="N67" s="1296"/>
      <c r="O67" s="1296"/>
      <c r="P67" s="1296"/>
      <c r="Q67" s="1297">
        <v>15.7</v>
      </c>
    </row>
    <row r="68" spans="1:17">
      <c r="A68" s="489">
        <v>68</v>
      </c>
      <c r="B68" s="100" t="s">
        <v>441</v>
      </c>
      <c r="C68" s="100" t="s">
        <v>500</v>
      </c>
      <c r="D68" s="100" t="s">
        <v>451</v>
      </c>
      <c r="E68" s="1296"/>
      <c r="F68" s="1296"/>
      <c r="G68" s="1296"/>
      <c r="H68" s="1296"/>
      <c r="I68" s="1296"/>
      <c r="J68" s="1296"/>
      <c r="K68" s="100">
        <v>3</v>
      </c>
      <c r="L68" s="100" t="s">
        <v>204</v>
      </c>
      <c r="M68" s="100">
        <v>4.1179166666666669</v>
      </c>
      <c r="N68" s="1296"/>
      <c r="O68" s="1296"/>
      <c r="P68" s="1296"/>
      <c r="Q68" s="1297">
        <v>12.35375</v>
      </c>
    </row>
    <row r="69" spans="1:17">
      <c r="A69" s="489">
        <v>69</v>
      </c>
      <c r="B69" s="100" t="s">
        <v>433</v>
      </c>
      <c r="C69" s="100" t="s">
        <v>501</v>
      </c>
      <c r="D69" s="100" t="s">
        <v>446</v>
      </c>
      <c r="E69" s="1296"/>
      <c r="F69" s="1296"/>
      <c r="G69" s="100"/>
      <c r="H69" s="1296"/>
      <c r="I69" s="1296"/>
      <c r="J69" s="1296"/>
      <c r="K69" s="100">
        <v>2</v>
      </c>
      <c r="L69" s="100" t="s">
        <v>217</v>
      </c>
      <c r="M69" s="100">
        <v>6.8866666666666667</v>
      </c>
      <c r="N69" s="1296"/>
      <c r="O69" s="1296"/>
      <c r="P69" s="1296"/>
      <c r="Q69" s="1297">
        <v>13.773333333333333</v>
      </c>
    </row>
    <row r="70" spans="1:17">
      <c r="A70" s="489">
        <v>70</v>
      </c>
      <c r="B70" s="100" t="s">
        <v>433</v>
      </c>
      <c r="C70" s="100" t="s">
        <v>502</v>
      </c>
      <c r="D70" s="100" t="s">
        <v>503</v>
      </c>
      <c r="E70" s="1296"/>
      <c r="F70" s="1296"/>
      <c r="G70" s="1296"/>
      <c r="H70" s="1296"/>
      <c r="I70" s="1296"/>
      <c r="J70" s="1296"/>
      <c r="K70" s="100">
        <v>3</v>
      </c>
      <c r="L70" s="100" t="s">
        <v>217</v>
      </c>
      <c r="M70" s="100">
        <v>8.3633333333333333</v>
      </c>
      <c r="N70" s="1296"/>
      <c r="O70" s="1296"/>
      <c r="P70" s="1296"/>
      <c r="Q70" s="1297">
        <v>25.09</v>
      </c>
    </row>
    <row r="71" spans="1:17">
      <c r="A71" s="489">
        <v>71</v>
      </c>
      <c r="B71" s="100" t="s">
        <v>438</v>
      </c>
      <c r="C71" s="100" t="s">
        <v>504</v>
      </c>
      <c r="D71" s="100" t="s">
        <v>449</v>
      </c>
      <c r="E71" s="1296"/>
      <c r="F71" s="1296"/>
      <c r="G71" s="1296"/>
      <c r="H71" s="1296"/>
      <c r="I71" s="1296"/>
      <c r="J71" s="1296"/>
      <c r="K71" s="100">
        <v>2</v>
      </c>
      <c r="L71" s="100" t="s">
        <v>184</v>
      </c>
      <c r="M71" s="100">
        <v>7.2168750000000008</v>
      </c>
      <c r="N71" s="1296"/>
      <c r="O71" s="1296"/>
      <c r="P71" s="1296"/>
      <c r="Q71" s="1297">
        <v>14.433750000000002</v>
      </c>
    </row>
    <row r="72" spans="1:17">
      <c r="A72" s="489">
        <v>72</v>
      </c>
      <c r="B72" s="100" t="s">
        <v>438</v>
      </c>
      <c r="C72" s="100" t="s">
        <v>505</v>
      </c>
      <c r="D72" s="100" t="s">
        <v>451</v>
      </c>
      <c r="E72" s="1296"/>
      <c r="F72" s="1296"/>
      <c r="G72" s="100"/>
      <c r="H72" s="1296"/>
      <c r="I72" s="1296"/>
      <c r="J72" s="1296"/>
      <c r="K72" s="100">
        <v>3.125</v>
      </c>
      <c r="L72" s="100" t="s">
        <v>204</v>
      </c>
      <c r="M72" s="100">
        <v>4.8</v>
      </c>
      <c r="N72" s="1296"/>
      <c r="O72" s="1296"/>
      <c r="P72" s="1296"/>
      <c r="Q72" s="1297">
        <v>15</v>
      </c>
    </row>
    <row r="73" spans="1:17">
      <c r="A73" s="489">
        <v>73</v>
      </c>
      <c r="B73" s="100" t="s">
        <v>433</v>
      </c>
      <c r="C73" s="100" t="s">
        <v>506</v>
      </c>
      <c r="D73" s="100" t="s">
        <v>437</v>
      </c>
      <c r="E73" s="1296"/>
      <c r="F73" s="1296"/>
      <c r="G73" s="1296"/>
      <c r="H73" s="1296"/>
      <c r="I73" s="1296"/>
      <c r="J73" s="1296"/>
      <c r="K73" s="100">
        <v>1</v>
      </c>
      <c r="L73" s="100" t="s">
        <v>204</v>
      </c>
      <c r="M73" s="100">
        <v>33.75</v>
      </c>
      <c r="N73" s="1296"/>
      <c r="O73" s="1296"/>
      <c r="P73" s="1296"/>
      <c r="Q73" s="1297">
        <v>33.75</v>
      </c>
    </row>
    <row r="74" spans="1:17">
      <c r="A74" s="489">
        <v>74</v>
      </c>
      <c r="B74" s="100" t="s">
        <v>433</v>
      </c>
      <c r="C74" s="100" t="s">
        <v>507</v>
      </c>
      <c r="D74" s="100">
        <v>400</v>
      </c>
      <c r="E74" s="1296"/>
      <c r="F74" s="1296"/>
      <c r="G74" s="1296"/>
      <c r="H74" s="1296"/>
      <c r="I74" s="1296"/>
      <c r="J74" s="1296"/>
      <c r="K74" s="100">
        <v>400</v>
      </c>
      <c r="L74" s="100" t="s">
        <v>508</v>
      </c>
      <c r="M74" s="100">
        <v>0.26750000000000002</v>
      </c>
      <c r="N74" s="1296"/>
      <c r="O74" s="1296"/>
      <c r="P74" s="1296"/>
      <c r="Q74" s="1297">
        <v>107</v>
      </c>
    </row>
    <row r="75" spans="1:17">
      <c r="A75" s="489">
        <v>75</v>
      </c>
      <c r="B75" s="100" t="s">
        <v>433</v>
      </c>
      <c r="C75" s="100" t="s">
        <v>509</v>
      </c>
      <c r="D75" s="100">
        <v>400</v>
      </c>
      <c r="E75" s="1296"/>
      <c r="F75" s="1296"/>
      <c r="G75" s="1296"/>
      <c r="H75" s="1296"/>
      <c r="I75" s="1296"/>
      <c r="J75" s="1296"/>
      <c r="K75" s="100">
        <v>200</v>
      </c>
      <c r="L75" s="100"/>
      <c r="M75" s="100">
        <v>0.51500000000000001</v>
      </c>
      <c r="N75" s="1296"/>
      <c r="O75" s="1296"/>
      <c r="P75" s="1296"/>
      <c r="Q75" s="1297">
        <v>103</v>
      </c>
    </row>
    <row r="76" spans="1:17">
      <c r="A76" s="489">
        <v>76</v>
      </c>
      <c r="B76" s="100" t="s">
        <v>433</v>
      </c>
      <c r="C76" s="100" t="s">
        <v>510</v>
      </c>
      <c r="D76" s="100" t="s">
        <v>440</v>
      </c>
      <c r="E76" s="1296"/>
      <c r="F76" s="1296"/>
      <c r="G76" s="1296"/>
      <c r="H76" s="1296"/>
      <c r="I76" s="1296"/>
      <c r="J76" s="1296"/>
      <c r="K76" s="100">
        <v>1</v>
      </c>
      <c r="L76" s="100" t="s">
        <v>217</v>
      </c>
      <c r="M76" s="100">
        <v>27.3</v>
      </c>
      <c r="N76" s="1296"/>
      <c r="O76" s="1296"/>
      <c r="P76" s="1296"/>
      <c r="Q76" s="1297">
        <v>27.3</v>
      </c>
    </row>
    <row r="77" spans="1:17">
      <c r="A77" s="489">
        <v>77</v>
      </c>
      <c r="B77" s="100" t="s">
        <v>433</v>
      </c>
      <c r="C77" s="100" t="s">
        <v>200</v>
      </c>
      <c r="D77" s="100" t="s">
        <v>451</v>
      </c>
      <c r="E77" s="1296"/>
      <c r="F77" s="1296"/>
      <c r="G77" s="1296"/>
      <c r="H77" s="1296"/>
      <c r="I77" s="1296"/>
      <c r="J77" s="1296"/>
      <c r="K77" s="100">
        <v>1.5</v>
      </c>
      <c r="L77" s="100" t="s">
        <v>201</v>
      </c>
      <c r="M77" s="100">
        <v>9.5266666666666673</v>
      </c>
      <c r="N77" s="1296"/>
      <c r="O77" s="1296"/>
      <c r="P77" s="1296"/>
      <c r="Q77" s="1297">
        <v>14.290000000000001</v>
      </c>
    </row>
    <row r="78" spans="1:17">
      <c r="A78" s="489">
        <v>78</v>
      </c>
      <c r="B78" s="100" t="s">
        <v>433</v>
      </c>
      <c r="C78" s="100" t="s">
        <v>511</v>
      </c>
      <c r="D78" s="100" t="s">
        <v>512</v>
      </c>
      <c r="E78" s="1296"/>
      <c r="F78" s="1296"/>
      <c r="G78" s="1296"/>
      <c r="H78" s="1296"/>
      <c r="I78" s="1296"/>
      <c r="J78" s="1296"/>
      <c r="K78" s="100">
        <v>1.33</v>
      </c>
      <c r="L78" s="100" t="s">
        <v>217</v>
      </c>
      <c r="M78" s="100">
        <v>15.483333333333334</v>
      </c>
      <c r="N78" s="1296"/>
      <c r="O78" s="1296"/>
      <c r="P78" s="1296"/>
      <c r="Q78" s="1297">
        <v>20.592833333333335</v>
      </c>
    </row>
    <row r="79" spans="1:17">
      <c r="A79" s="489">
        <v>79</v>
      </c>
      <c r="B79" s="100" t="s">
        <v>441</v>
      </c>
      <c r="C79" s="100" t="s">
        <v>513</v>
      </c>
      <c r="D79" s="100" t="s">
        <v>451</v>
      </c>
      <c r="E79" s="1296"/>
      <c r="F79" s="1296"/>
      <c r="G79" s="100"/>
      <c r="H79" s="1296"/>
      <c r="I79" s="1296"/>
      <c r="J79" s="1296"/>
      <c r="K79" s="100">
        <v>4</v>
      </c>
      <c r="L79" s="100" t="s">
        <v>204</v>
      </c>
      <c r="M79" s="100">
        <v>4.6900000000000004</v>
      </c>
      <c r="N79" s="1296"/>
      <c r="O79" s="1296"/>
      <c r="P79" s="1296"/>
      <c r="Q79" s="1297">
        <v>18.760000000000002</v>
      </c>
    </row>
    <row r="80" spans="1:17">
      <c r="A80" s="489">
        <v>80</v>
      </c>
      <c r="B80" s="100" t="s">
        <v>447</v>
      </c>
      <c r="C80" s="100" t="s">
        <v>514</v>
      </c>
      <c r="D80" s="100" t="s">
        <v>437</v>
      </c>
      <c r="E80" s="1296"/>
      <c r="F80" s="1296"/>
      <c r="G80" s="100"/>
      <c r="H80" s="1296"/>
      <c r="I80" s="1296"/>
      <c r="J80" s="1296"/>
      <c r="K80" s="100">
        <v>2</v>
      </c>
      <c r="L80" s="100" t="s">
        <v>201</v>
      </c>
      <c r="M80" s="100">
        <v>27.5</v>
      </c>
      <c r="N80" s="1296"/>
      <c r="O80" s="1296"/>
      <c r="P80" s="1296"/>
      <c r="Q80" s="1297">
        <v>55</v>
      </c>
    </row>
    <row r="81" spans="1:17">
      <c r="A81" s="489">
        <v>81</v>
      </c>
      <c r="B81" s="100"/>
      <c r="C81" s="100" t="s">
        <v>174</v>
      </c>
      <c r="D81" s="100" t="s">
        <v>515</v>
      </c>
      <c r="E81" s="1296"/>
      <c r="F81" s="1296"/>
      <c r="G81" s="1296"/>
      <c r="H81" s="1296"/>
      <c r="I81" s="1296"/>
      <c r="J81" s="1296"/>
      <c r="K81" s="100"/>
      <c r="L81" s="100"/>
      <c r="M81" s="100"/>
      <c r="N81" s="1296"/>
      <c r="O81" s="1296"/>
      <c r="P81" s="1296"/>
      <c r="Q81" s="1297"/>
    </row>
    <row r="82" spans="1:17">
      <c r="A82" s="489">
        <v>82</v>
      </c>
      <c r="B82" s="100" t="s">
        <v>438</v>
      </c>
      <c r="C82" s="100" t="s">
        <v>516</v>
      </c>
      <c r="D82" s="100" t="s">
        <v>440</v>
      </c>
      <c r="E82" s="1296"/>
      <c r="F82" s="1296"/>
      <c r="G82" s="1296"/>
      <c r="H82" s="1296"/>
      <c r="I82" s="1296"/>
      <c r="J82" s="1296"/>
      <c r="K82" s="100">
        <v>1.5</v>
      </c>
      <c r="L82" s="100" t="s">
        <v>217</v>
      </c>
      <c r="M82" s="100">
        <v>23.936666666666667</v>
      </c>
      <c r="N82" s="1296"/>
      <c r="O82" s="1296"/>
      <c r="P82" s="1296"/>
      <c r="Q82" s="1297">
        <v>35.905000000000001</v>
      </c>
    </row>
    <row r="83" spans="1:17">
      <c r="A83" s="489">
        <v>83</v>
      </c>
      <c r="B83" s="100" t="s">
        <v>433</v>
      </c>
      <c r="C83" s="100" t="s">
        <v>517</v>
      </c>
      <c r="D83" s="100" t="s">
        <v>518</v>
      </c>
      <c r="E83" s="1296"/>
      <c r="F83" s="1296"/>
      <c r="G83" s="1296"/>
      <c r="H83" s="1296"/>
      <c r="I83" s="1296"/>
      <c r="J83" s="1296"/>
      <c r="K83" s="100">
        <v>6.6</v>
      </c>
      <c r="L83" s="100" t="s">
        <v>184</v>
      </c>
      <c r="M83" s="100">
        <v>6.6720202020202022</v>
      </c>
      <c r="N83" s="1296"/>
      <c r="O83" s="1296"/>
      <c r="P83" s="1296"/>
      <c r="Q83" s="1297">
        <v>44.035333333333334</v>
      </c>
    </row>
    <row r="84" spans="1:17">
      <c r="A84" s="489">
        <v>84</v>
      </c>
      <c r="B84" s="100" t="s">
        <v>438</v>
      </c>
      <c r="C84" s="100" t="s">
        <v>183</v>
      </c>
      <c r="D84" s="100" t="s">
        <v>494</v>
      </c>
      <c r="E84" s="1296"/>
      <c r="F84" s="1296"/>
      <c r="G84" s="100"/>
      <c r="H84" s="1296"/>
      <c r="I84" s="1296"/>
      <c r="J84" s="1296"/>
      <c r="K84" s="100">
        <v>3</v>
      </c>
      <c r="L84" s="100" t="s">
        <v>184</v>
      </c>
      <c r="M84" s="100">
        <v>4.2</v>
      </c>
      <c r="N84" s="1296"/>
      <c r="O84" s="1296"/>
      <c r="P84" s="1296"/>
      <c r="Q84" s="1297">
        <v>12.600000000000001</v>
      </c>
    </row>
    <row r="85" spans="1:17">
      <c r="A85" s="489">
        <v>85</v>
      </c>
      <c r="B85" s="100" t="s">
        <v>438</v>
      </c>
      <c r="C85" s="100" t="s">
        <v>183</v>
      </c>
      <c r="D85" s="100" t="s">
        <v>494</v>
      </c>
      <c r="E85" s="1296"/>
      <c r="F85" s="1296"/>
      <c r="G85" s="100"/>
      <c r="H85" s="1296"/>
      <c r="I85" s="1296"/>
      <c r="J85" s="1296"/>
      <c r="K85" s="100">
        <v>8</v>
      </c>
      <c r="L85" s="100" t="s">
        <v>184</v>
      </c>
      <c r="M85" s="100">
        <v>4.2</v>
      </c>
      <c r="N85" s="1296"/>
      <c r="O85" s="1296"/>
      <c r="P85" s="1296"/>
      <c r="Q85" s="1297">
        <v>33.6</v>
      </c>
    </row>
    <row r="86" spans="1:17">
      <c r="A86" s="489">
        <v>86</v>
      </c>
      <c r="B86" s="100" t="s">
        <v>438</v>
      </c>
      <c r="C86" s="100" t="s">
        <v>519</v>
      </c>
      <c r="D86" s="100" t="s">
        <v>443</v>
      </c>
      <c r="E86" s="1296"/>
      <c r="F86" s="1296"/>
      <c r="G86" s="1296"/>
      <c r="H86" s="1296"/>
      <c r="I86" s="1296"/>
      <c r="J86" s="1296"/>
      <c r="K86" s="100">
        <v>4</v>
      </c>
      <c r="L86" s="100" t="s">
        <v>184</v>
      </c>
      <c r="M86" s="100">
        <v>3.1271874999999998</v>
      </c>
      <c r="N86" s="1296"/>
      <c r="O86" s="1296"/>
      <c r="P86" s="1296"/>
      <c r="Q86" s="1297">
        <v>12.508749999999999</v>
      </c>
    </row>
    <row r="87" spans="1:17">
      <c r="A87" s="489">
        <v>87</v>
      </c>
      <c r="B87" s="100" t="s">
        <v>438</v>
      </c>
      <c r="C87" s="100" t="s">
        <v>520</v>
      </c>
      <c r="D87" s="100" t="s">
        <v>469</v>
      </c>
      <c r="E87" s="1296"/>
      <c r="F87" s="1296"/>
      <c r="G87" s="1296"/>
      <c r="H87" s="1296"/>
      <c r="I87" s="1296"/>
      <c r="J87" s="1296"/>
      <c r="K87" s="100">
        <v>3</v>
      </c>
      <c r="L87" s="100" t="s">
        <v>217</v>
      </c>
      <c r="M87" s="100">
        <v>3.4</v>
      </c>
      <c r="N87" s="1296"/>
      <c r="O87" s="1296"/>
      <c r="P87" s="1296"/>
      <c r="Q87" s="1297">
        <v>10.199999999999999</v>
      </c>
    </row>
    <row r="88" spans="1:17">
      <c r="A88" s="489">
        <v>88</v>
      </c>
      <c r="B88" s="100" t="s">
        <v>433</v>
      </c>
      <c r="C88" s="100" t="s">
        <v>521</v>
      </c>
      <c r="D88" s="100" t="s">
        <v>437</v>
      </c>
      <c r="E88" s="1296"/>
      <c r="F88" s="1296"/>
      <c r="G88" s="1296"/>
      <c r="H88" s="1296"/>
      <c r="I88" s="1296"/>
      <c r="J88" s="1296"/>
      <c r="K88" s="100">
        <v>8</v>
      </c>
      <c r="L88" s="100" t="s">
        <v>184</v>
      </c>
      <c r="M88" s="100">
        <v>0.8359375</v>
      </c>
      <c r="N88" s="1296"/>
      <c r="O88" s="1296"/>
      <c r="P88" s="1296"/>
      <c r="Q88" s="1297">
        <v>6.6875</v>
      </c>
    </row>
    <row r="89" spans="1:17">
      <c r="A89" s="489">
        <v>89</v>
      </c>
      <c r="B89" s="100" t="s">
        <v>438</v>
      </c>
      <c r="C89" s="100" t="s">
        <v>522</v>
      </c>
      <c r="D89" s="100" t="s">
        <v>469</v>
      </c>
      <c r="E89" s="1296"/>
      <c r="F89" s="1296"/>
      <c r="G89" s="1296"/>
      <c r="H89" s="1296"/>
      <c r="I89" s="1296"/>
      <c r="J89" s="1296"/>
      <c r="K89" s="100">
        <v>3</v>
      </c>
      <c r="L89" s="100" t="s">
        <v>217</v>
      </c>
      <c r="M89" s="100">
        <v>2.5</v>
      </c>
      <c r="N89" s="1296"/>
      <c r="O89" s="1296"/>
      <c r="P89" s="1296"/>
      <c r="Q89" s="1297">
        <v>7.5</v>
      </c>
    </row>
    <row r="90" spans="1:17">
      <c r="A90" s="393">
        <v>90</v>
      </c>
      <c r="B90" s="334" t="s">
        <v>438</v>
      </c>
      <c r="C90" s="334" t="s">
        <v>522</v>
      </c>
      <c r="D90" s="334" t="s">
        <v>469</v>
      </c>
      <c r="E90" s="1298"/>
      <c r="F90" s="1298"/>
      <c r="G90" s="1298"/>
      <c r="H90" s="1298"/>
      <c r="I90" s="1298"/>
      <c r="J90" s="1298"/>
      <c r="K90" s="334">
        <v>6</v>
      </c>
      <c r="L90" s="334" t="s">
        <v>217</v>
      </c>
      <c r="M90" s="334">
        <v>2.5</v>
      </c>
      <c r="N90" s="1298"/>
      <c r="O90" s="1298"/>
      <c r="P90" s="1298"/>
      <c r="Q90" s="1303">
        <v>15</v>
      </c>
    </row>
    <row r="91" spans="1:17">
      <c r="A91" s="496">
        <v>91</v>
      </c>
      <c r="B91" s="328" t="s">
        <v>433</v>
      </c>
      <c r="C91" s="328" t="s">
        <v>523</v>
      </c>
      <c r="D91" s="328" t="s">
        <v>451</v>
      </c>
      <c r="E91" s="1302"/>
      <c r="F91" s="1302"/>
      <c r="G91" s="1302"/>
      <c r="H91" s="1302"/>
      <c r="I91" s="1302"/>
      <c r="J91" s="1302"/>
      <c r="K91" s="328"/>
      <c r="L91" s="328"/>
      <c r="M91" s="328"/>
      <c r="N91" s="1302"/>
      <c r="O91" s="1302"/>
      <c r="P91" s="1302"/>
      <c r="Q91" s="1304"/>
    </row>
    <row r="92" spans="1:17">
      <c r="A92" s="489">
        <v>92</v>
      </c>
      <c r="B92" s="100" t="s">
        <v>433</v>
      </c>
      <c r="C92" s="100" t="s">
        <v>524</v>
      </c>
      <c r="D92" s="100" t="s">
        <v>437</v>
      </c>
      <c r="E92" s="1296"/>
      <c r="F92" s="1296"/>
      <c r="G92" s="1296"/>
      <c r="H92" s="1296"/>
      <c r="I92" s="1296"/>
      <c r="J92" s="1296"/>
      <c r="K92" s="100">
        <v>6</v>
      </c>
      <c r="L92" s="100" t="s">
        <v>184</v>
      </c>
      <c r="M92" s="100">
        <v>2.1484375</v>
      </c>
      <c r="N92" s="1296"/>
      <c r="O92" s="1296"/>
      <c r="P92" s="1296"/>
      <c r="Q92" s="1297">
        <v>12.890625</v>
      </c>
    </row>
    <row r="93" spans="1:17">
      <c r="A93" s="489">
        <v>93</v>
      </c>
      <c r="B93" s="100" t="s">
        <v>438</v>
      </c>
      <c r="C93" s="100" t="s">
        <v>525</v>
      </c>
      <c r="D93" s="100" t="s">
        <v>526</v>
      </c>
      <c r="E93" s="1296"/>
      <c r="F93" s="1296"/>
      <c r="G93" s="1296"/>
      <c r="H93" s="1296"/>
      <c r="I93" s="1296"/>
      <c r="J93" s="1296"/>
      <c r="K93" s="100">
        <v>14.5</v>
      </c>
      <c r="L93" s="100" t="s">
        <v>184</v>
      </c>
      <c r="M93" s="100">
        <v>2.550208333333333</v>
      </c>
      <c r="N93" s="1296"/>
      <c r="O93" s="1296"/>
      <c r="P93" s="1296"/>
      <c r="Q93" s="1297">
        <v>36.978020833333325</v>
      </c>
    </row>
    <row r="94" spans="1:17">
      <c r="A94" s="489">
        <v>94</v>
      </c>
      <c r="B94" s="100" t="s">
        <v>433</v>
      </c>
      <c r="C94" s="100" t="s">
        <v>527</v>
      </c>
      <c r="D94" s="100" t="s">
        <v>437</v>
      </c>
      <c r="E94" s="1296"/>
      <c r="F94" s="1296"/>
      <c r="G94" s="1296"/>
      <c r="H94" s="1296"/>
      <c r="I94" s="1296"/>
      <c r="J94" s="1296"/>
      <c r="K94" s="100">
        <v>5.12</v>
      </c>
      <c r="L94" s="100" t="s">
        <v>184</v>
      </c>
      <c r="M94" s="100">
        <v>2.265625</v>
      </c>
      <c r="N94" s="1296"/>
      <c r="O94" s="1296"/>
      <c r="P94" s="1296"/>
      <c r="Q94" s="1297">
        <v>11.6</v>
      </c>
    </row>
    <row r="95" spans="1:17">
      <c r="A95" s="489">
        <v>95</v>
      </c>
      <c r="B95" s="100" t="s">
        <v>433</v>
      </c>
      <c r="C95" s="100" t="s">
        <v>528</v>
      </c>
      <c r="D95" s="100" t="s">
        <v>529</v>
      </c>
      <c r="E95" s="1296"/>
      <c r="F95" s="1296"/>
      <c r="G95" s="1296"/>
      <c r="H95" s="1296"/>
      <c r="I95" s="1296"/>
      <c r="J95" s="1296"/>
      <c r="K95" s="100">
        <v>4.8</v>
      </c>
      <c r="L95" s="100" t="s">
        <v>184</v>
      </c>
      <c r="M95" s="100">
        <v>7.0958333333333341</v>
      </c>
      <c r="N95" s="1296"/>
      <c r="O95" s="1296"/>
      <c r="P95" s="1296"/>
      <c r="Q95" s="1297">
        <v>34.06</v>
      </c>
    </row>
    <row r="96" spans="1:17">
      <c r="A96" s="489">
        <v>96</v>
      </c>
      <c r="B96" s="100" t="s">
        <v>447</v>
      </c>
      <c r="C96" s="100" t="s">
        <v>203</v>
      </c>
      <c r="D96" s="100" t="s">
        <v>443</v>
      </c>
      <c r="E96" s="1296"/>
      <c r="F96" s="1296"/>
      <c r="G96" s="1296"/>
      <c r="H96" s="1296"/>
      <c r="I96" s="1296"/>
      <c r="J96" s="1296"/>
      <c r="K96" s="100">
        <v>1</v>
      </c>
      <c r="L96" s="100" t="s">
        <v>204</v>
      </c>
      <c r="M96" s="100">
        <v>56.814999999999998</v>
      </c>
      <c r="N96" s="1296"/>
      <c r="O96" s="1296"/>
      <c r="P96" s="1296"/>
      <c r="Q96" s="1297">
        <v>56.814999999999998</v>
      </c>
    </row>
    <row r="97" spans="1:17">
      <c r="A97" s="489">
        <v>97</v>
      </c>
      <c r="B97" s="100" t="s">
        <v>433</v>
      </c>
      <c r="C97" s="100" t="s">
        <v>530</v>
      </c>
      <c r="D97" s="100" t="s">
        <v>437</v>
      </c>
      <c r="E97" s="1296"/>
      <c r="F97" s="1296"/>
      <c r="G97" s="1296"/>
      <c r="H97" s="1296"/>
      <c r="I97" s="1296"/>
      <c r="J97" s="1296"/>
      <c r="K97" s="100">
        <v>6</v>
      </c>
      <c r="L97" s="100" t="s">
        <v>184</v>
      </c>
      <c r="M97" s="100">
        <v>2.5824218750000001</v>
      </c>
      <c r="N97" s="1296"/>
      <c r="O97" s="1296"/>
      <c r="P97" s="1296"/>
      <c r="Q97" s="1297">
        <v>15.49453125</v>
      </c>
    </row>
    <row r="98" spans="1:17">
      <c r="A98" s="489">
        <v>98</v>
      </c>
      <c r="B98" s="100" t="s">
        <v>447</v>
      </c>
      <c r="C98" s="100" t="s">
        <v>531</v>
      </c>
      <c r="D98" s="100" t="s">
        <v>532</v>
      </c>
      <c r="E98" s="1296"/>
      <c r="F98" s="1296"/>
      <c r="G98" s="1296"/>
      <c r="H98" s="1296"/>
      <c r="I98" s="1296"/>
      <c r="J98" s="1296"/>
      <c r="K98" s="100">
        <v>60</v>
      </c>
      <c r="L98" s="100" t="s">
        <v>533</v>
      </c>
      <c r="M98" s="100">
        <v>0.65499999999999992</v>
      </c>
      <c r="N98" s="1296"/>
      <c r="O98" s="1296"/>
      <c r="P98" s="1296"/>
      <c r="Q98" s="1297">
        <v>39.299999999999997</v>
      </c>
    </row>
    <row r="99" spans="1:17">
      <c r="A99" s="489">
        <v>99</v>
      </c>
      <c r="B99" s="100" t="s">
        <v>441</v>
      </c>
      <c r="C99" s="100" t="s">
        <v>534</v>
      </c>
      <c r="D99" s="100" t="s">
        <v>451</v>
      </c>
      <c r="E99" s="1296"/>
      <c r="F99" s="1296"/>
      <c r="G99" s="1296"/>
      <c r="H99" s="1296"/>
      <c r="I99" s="1296"/>
      <c r="J99" s="1296"/>
      <c r="K99" s="100">
        <v>2</v>
      </c>
      <c r="L99" s="100" t="s">
        <v>201</v>
      </c>
      <c r="M99" s="100">
        <v>8.81</v>
      </c>
      <c r="N99" s="1296"/>
      <c r="O99" s="1296"/>
      <c r="P99" s="1296"/>
      <c r="Q99" s="1297">
        <v>17.62</v>
      </c>
    </row>
    <row r="100" spans="1:17">
      <c r="A100" s="489">
        <v>100</v>
      </c>
      <c r="B100" s="100" t="s">
        <v>441</v>
      </c>
      <c r="C100" s="100" t="s">
        <v>534</v>
      </c>
      <c r="D100" s="100" t="s">
        <v>451</v>
      </c>
      <c r="E100" s="1296"/>
      <c r="F100" s="1296"/>
      <c r="G100" s="1296"/>
      <c r="H100" s="1296"/>
      <c r="I100" s="1296"/>
      <c r="J100" s="1296"/>
      <c r="K100" s="100">
        <v>4</v>
      </c>
      <c r="L100" s="100" t="s">
        <v>201</v>
      </c>
      <c r="M100" s="100">
        <v>8.81</v>
      </c>
      <c r="N100" s="1296"/>
      <c r="O100" s="1296"/>
      <c r="P100" s="1296"/>
      <c r="Q100" s="1297">
        <v>35.24</v>
      </c>
    </row>
    <row r="101" spans="1:17">
      <c r="A101" s="489">
        <v>101</v>
      </c>
      <c r="B101" s="100" t="s">
        <v>447</v>
      </c>
      <c r="C101" s="100" t="s">
        <v>535</v>
      </c>
      <c r="D101" s="100" t="s">
        <v>536</v>
      </c>
      <c r="E101" s="1296"/>
      <c r="F101" s="1296"/>
      <c r="G101" s="1296"/>
      <c r="H101" s="1296"/>
      <c r="I101" s="1296"/>
      <c r="J101" s="1296"/>
      <c r="K101" s="100">
        <v>1</v>
      </c>
      <c r="L101" s="100" t="s">
        <v>508</v>
      </c>
      <c r="M101" s="100">
        <v>232.5</v>
      </c>
      <c r="N101" s="1296"/>
      <c r="O101" s="1296"/>
      <c r="P101" s="1296"/>
      <c r="Q101" s="1297">
        <v>232.5</v>
      </c>
    </row>
    <row r="102" spans="1:17">
      <c r="A102" s="489">
        <v>102</v>
      </c>
      <c r="B102" s="100" t="s">
        <v>438</v>
      </c>
      <c r="C102" s="100" t="s">
        <v>537</v>
      </c>
      <c r="D102" s="100" t="s">
        <v>456</v>
      </c>
      <c r="E102" s="1296"/>
      <c r="F102" s="1296"/>
      <c r="G102" s="1296"/>
      <c r="H102" s="1296"/>
      <c r="I102" s="1296"/>
      <c r="J102" s="1296"/>
      <c r="K102" s="100"/>
      <c r="L102" s="100"/>
      <c r="M102" s="100"/>
      <c r="N102" s="1296"/>
      <c r="O102" s="1296"/>
      <c r="P102" s="1296"/>
      <c r="Q102" s="1297"/>
    </row>
    <row r="103" spans="1:17">
      <c r="A103" s="489">
        <v>103</v>
      </c>
      <c r="B103" s="100" t="s">
        <v>433</v>
      </c>
      <c r="C103" s="100" t="s">
        <v>538</v>
      </c>
      <c r="D103" s="100" t="s">
        <v>451</v>
      </c>
      <c r="E103" s="1296"/>
      <c r="F103" s="1296"/>
      <c r="G103" s="1296"/>
      <c r="H103" s="1296"/>
      <c r="I103" s="1296"/>
      <c r="J103" s="1296"/>
      <c r="K103" s="100">
        <v>20</v>
      </c>
      <c r="L103" s="100" t="s">
        <v>184</v>
      </c>
      <c r="M103" s="100">
        <v>1.5553906249999998</v>
      </c>
      <c r="N103" s="1296"/>
      <c r="O103" s="1296"/>
      <c r="P103" s="1296"/>
      <c r="Q103" s="1297">
        <v>31.107812499999998</v>
      </c>
    </row>
    <row r="104" spans="1:17">
      <c r="A104" s="489">
        <v>104</v>
      </c>
      <c r="B104" s="100" t="s">
        <v>441</v>
      </c>
      <c r="C104" s="100" t="s">
        <v>539</v>
      </c>
      <c r="D104" s="100" t="s">
        <v>451</v>
      </c>
      <c r="E104" s="1296"/>
      <c r="F104" s="1296"/>
      <c r="G104" s="1296"/>
      <c r="H104" s="1296"/>
      <c r="I104" s="1296"/>
      <c r="J104" s="1296"/>
      <c r="K104" s="100">
        <v>3</v>
      </c>
      <c r="L104" s="100" t="s">
        <v>204</v>
      </c>
      <c r="M104" s="100">
        <v>7.8718750000000002</v>
      </c>
      <c r="N104" s="1296"/>
      <c r="O104" s="1296"/>
      <c r="P104" s="1296"/>
      <c r="Q104" s="1297">
        <v>23.615625000000001</v>
      </c>
    </row>
    <row r="105" spans="1:17">
      <c r="A105" s="489">
        <v>105</v>
      </c>
      <c r="B105" s="100" t="s">
        <v>441</v>
      </c>
      <c r="C105" s="100" t="s">
        <v>540</v>
      </c>
      <c r="D105" s="100" t="s">
        <v>451</v>
      </c>
      <c r="E105" s="1296"/>
      <c r="F105" s="1296"/>
      <c r="G105" s="1296"/>
      <c r="H105" s="1296"/>
      <c r="I105" s="1296"/>
      <c r="J105" s="1296"/>
      <c r="K105" s="100">
        <v>3</v>
      </c>
      <c r="L105" s="100" t="s">
        <v>204</v>
      </c>
      <c r="M105" s="100">
        <v>5.626666666666666</v>
      </c>
      <c r="N105" s="1296"/>
      <c r="O105" s="1296"/>
      <c r="P105" s="1296"/>
      <c r="Q105" s="1297">
        <v>16.88</v>
      </c>
    </row>
    <row r="106" spans="1:17">
      <c r="A106" s="489">
        <v>106</v>
      </c>
      <c r="B106" s="100" t="s">
        <v>438</v>
      </c>
      <c r="C106" s="100" t="s">
        <v>541</v>
      </c>
      <c r="D106" s="100" t="s">
        <v>443</v>
      </c>
      <c r="E106" s="1296"/>
      <c r="F106" s="1296"/>
      <c r="G106" s="1296"/>
      <c r="H106" s="1296"/>
      <c r="I106" s="1296"/>
      <c r="J106" s="1296"/>
      <c r="K106" s="100">
        <v>8</v>
      </c>
      <c r="L106" s="100" t="s">
        <v>184</v>
      </c>
      <c r="M106" s="100">
        <v>2.5296875000000001</v>
      </c>
      <c r="N106" s="1296"/>
      <c r="O106" s="1296"/>
      <c r="P106" s="1296"/>
      <c r="Q106" s="1297">
        <v>20.237500000000001</v>
      </c>
    </row>
    <row r="107" spans="1:17">
      <c r="A107" s="489">
        <v>107</v>
      </c>
      <c r="B107" s="100" t="s">
        <v>438</v>
      </c>
      <c r="C107" s="100" t="s">
        <v>541</v>
      </c>
      <c r="D107" s="100" t="s">
        <v>443</v>
      </c>
      <c r="E107" s="1296"/>
      <c r="F107" s="1296"/>
      <c r="G107" s="1296"/>
      <c r="H107" s="1296"/>
      <c r="I107" s="1296"/>
      <c r="J107" s="1296"/>
      <c r="K107" s="100">
        <v>12</v>
      </c>
      <c r="L107" s="100" t="s">
        <v>184</v>
      </c>
      <c r="M107" s="100">
        <v>2.5296875000000001</v>
      </c>
      <c r="N107" s="1296"/>
      <c r="O107" s="1296"/>
      <c r="P107" s="1296"/>
      <c r="Q107" s="1297">
        <v>30.356249999999999</v>
      </c>
    </row>
    <row r="108" spans="1:17">
      <c r="A108" s="489">
        <v>108</v>
      </c>
      <c r="B108" s="100" t="s">
        <v>441</v>
      </c>
      <c r="C108" s="100" t="s">
        <v>542</v>
      </c>
      <c r="D108" s="100" t="s">
        <v>451</v>
      </c>
      <c r="E108" s="1296"/>
      <c r="F108" s="1296"/>
      <c r="G108" s="1296"/>
      <c r="H108" s="1296"/>
      <c r="I108" s="1296"/>
      <c r="J108" s="1296"/>
      <c r="K108" s="100">
        <v>3</v>
      </c>
      <c r="L108" s="100" t="s">
        <v>204</v>
      </c>
      <c r="M108" s="100">
        <v>2.75</v>
      </c>
      <c r="N108" s="1296"/>
      <c r="O108" s="1296"/>
      <c r="P108" s="1296"/>
      <c r="Q108" s="1297">
        <v>8.25</v>
      </c>
    </row>
    <row r="109" spans="1:17">
      <c r="A109" s="489">
        <v>109</v>
      </c>
      <c r="B109" s="100" t="s">
        <v>433</v>
      </c>
      <c r="C109" s="100" t="s">
        <v>543</v>
      </c>
      <c r="D109" s="100" t="s">
        <v>544</v>
      </c>
      <c r="E109" s="1296"/>
      <c r="F109" s="1296"/>
      <c r="G109" s="1296"/>
      <c r="H109" s="1296"/>
      <c r="I109" s="1296"/>
      <c r="J109" s="1296"/>
      <c r="K109" s="100"/>
      <c r="L109" s="100" t="s">
        <v>184</v>
      </c>
      <c r="M109" s="100"/>
      <c r="N109" s="1296"/>
      <c r="O109" s="1296"/>
      <c r="P109" s="1296"/>
      <c r="Q109" s="1297"/>
    </row>
    <row r="110" spans="1:17">
      <c r="A110" s="489">
        <v>110</v>
      </c>
      <c r="B110" s="100" t="s">
        <v>438</v>
      </c>
      <c r="C110" s="122" t="s">
        <v>545</v>
      </c>
      <c r="D110" s="100" t="s">
        <v>546</v>
      </c>
      <c r="E110" s="1296"/>
      <c r="F110" s="1296"/>
      <c r="G110" s="1296"/>
      <c r="H110" s="1296"/>
      <c r="I110" s="1296"/>
      <c r="J110" s="1296"/>
      <c r="K110" s="100">
        <v>5</v>
      </c>
      <c r="L110" s="100" t="s">
        <v>184</v>
      </c>
      <c r="M110" s="100">
        <v>1.590625</v>
      </c>
      <c r="N110" s="1296"/>
      <c r="O110" s="1296"/>
      <c r="P110" s="1296"/>
      <c r="Q110" s="1297">
        <v>7.953125</v>
      </c>
    </row>
    <row r="111" spans="1:17">
      <c r="A111" s="489">
        <v>111</v>
      </c>
      <c r="B111" s="100" t="s">
        <v>438</v>
      </c>
      <c r="C111" s="122" t="s">
        <v>545</v>
      </c>
      <c r="D111" s="100" t="s">
        <v>546</v>
      </c>
      <c r="E111" s="1296"/>
      <c r="F111" s="1296"/>
      <c r="G111" s="1296"/>
      <c r="H111" s="1296"/>
      <c r="I111" s="1296"/>
      <c r="J111" s="1296"/>
      <c r="K111" s="100">
        <v>7</v>
      </c>
      <c r="L111" s="100" t="s">
        <v>184</v>
      </c>
      <c r="M111" s="100">
        <v>1.590625</v>
      </c>
      <c r="N111" s="1296"/>
      <c r="O111" s="1296"/>
      <c r="P111" s="1296"/>
      <c r="Q111" s="1297">
        <v>11.134375</v>
      </c>
    </row>
    <row r="112" spans="1:17">
      <c r="A112" s="489">
        <v>112</v>
      </c>
      <c r="B112" s="100" t="s">
        <v>438</v>
      </c>
      <c r="C112" s="122" t="s">
        <v>545</v>
      </c>
      <c r="D112" s="100" t="s">
        <v>546</v>
      </c>
      <c r="E112" s="1296"/>
      <c r="F112" s="1296"/>
      <c r="G112" s="1296"/>
      <c r="H112" s="1296"/>
      <c r="I112" s="1296"/>
      <c r="J112" s="1296"/>
      <c r="K112" s="100">
        <v>10</v>
      </c>
      <c r="L112" s="100" t="s">
        <v>184</v>
      </c>
      <c r="M112" s="100">
        <v>1.590625</v>
      </c>
      <c r="N112" s="1296"/>
      <c r="O112" s="1296"/>
      <c r="P112" s="1296"/>
      <c r="Q112" s="1297">
        <v>15.90625</v>
      </c>
    </row>
    <row r="113" spans="1:17">
      <c r="A113" s="489">
        <v>113</v>
      </c>
      <c r="B113" s="100" t="s">
        <v>438</v>
      </c>
      <c r="C113" s="100" t="s">
        <v>547</v>
      </c>
      <c r="D113" s="100" t="s">
        <v>548</v>
      </c>
      <c r="E113" s="1296"/>
      <c r="F113" s="1296"/>
      <c r="G113" s="1296"/>
      <c r="H113" s="1296"/>
      <c r="I113" s="1296"/>
      <c r="J113" s="1296"/>
      <c r="K113" s="100">
        <v>3</v>
      </c>
      <c r="L113" s="100" t="s">
        <v>217</v>
      </c>
      <c r="M113" s="100">
        <v>11.266666666666667</v>
      </c>
      <c r="N113" s="1296"/>
      <c r="O113" s="1296"/>
      <c r="P113" s="1296"/>
      <c r="Q113" s="1297">
        <v>33.800000000000004</v>
      </c>
    </row>
    <row r="114" spans="1:17">
      <c r="A114" s="489">
        <v>114</v>
      </c>
      <c r="B114" s="100" t="s">
        <v>447</v>
      </c>
      <c r="C114" s="100" t="s">
        <v>549</v>
      </c>
      <c r="D114" s="100" t="s">
        <v>550</v>
      </c>
      <c r="E114" s="1296"/>
      <c r="F114" s="1296"/>
      <c r="G114" s="1296"/>
      <c r="H114" s="1296"/>
      <c r="I114" s="1296"/>
      <c r="J114" s="1296"/>
      <c r="K114" s="100">
        <v>2</v>
      </c>
      <c r="L114" s="100" t="s">
        <v>217</v>
      </c>
      <c r="M114" s="100">
        <v>6.64</v>
      </c>
      <c r="N114" s="1296"/>
      <c r="O114" s="1296"/>
      <c r="P114" s="1296"/>
      <c r="Q114" s="1297">
        <v>13.28</v>
      </c>
    </row>
    <row r="115" spans="1:17">
      <c r="A115" s="489">
        <v>115</v>
      </c>
      <c r="B115" s="100" t="s">
        <v>447</v>
      </c>
      <c r="C115" s="100" t="s">
        <v>209</v>
      </c>
      <c r="D115" s="100" t="s">
        <v>451</v>
      </c>
      <c r="E115" s="1296"/>
      <c r="F115" s="1296"/>
      <c r="G115" s="1296"/>
      <c r="H115" s="1296"/>
      <c r="I115" s="1296"/>
      <c r="J115" s="1296"/>
      <c r="K115" s="100">
        <v>1</v>
      </c>
      <c r="L115" s="100" t="s">
        <v>201</v>
      </c>
      <c r="M115" s="100">
        <v>3.9375</v>
      </c>
      <c r="N115" s="1296"/>
      <c r="O115" s="1296"/>
      <c r="P115" s="1296"/>
      <c r="Q115" s="1297">
        <v>3.9375</v>
      </c>
    </row>
    <row r="116" spans="1:17">
      <c r="A116" s="489">
        <v>116</v>
      </c>
      <c r="B116" s="100" t="s">
        <v>441</v>
      </c>
      <c r="C116" s="100" t="s">
        <v>551</v>
      </c>
      <c r="D116" s="100" t="s">
        <v>451</v>
      </c>
      <c r="E116" s="1296"/>
      <c r="F116" s="1296"/>
      <c r="G116" s="1296"/>
      <c r="H116" s="1296"/>
      <c r="I116" s="1296"/>
      <c r="J116" s="1296"/>
      <c r="K116" s="100">
        <v>4</v>
      </c>
      <c r="L116" s="100" t="s">
        <v>204</v>
      </c>
      <c r="M116" s="100">
        <v>2.7262500000000003</v>
      </c>
      <c r="N116" s="1296"/>
      <c r="O116" s="1296"/>
      <c r="P116" s="1296"/>
      <c r="Q116" s="1297">
        <v>10.905000000000001</v>
      </c>
    </row>
    <row r="117" spans="1:17">
      <c r="A117" s="489">
        <v>117</v>
      </c>
      <c r="B117" s="100" t="s">
        <v>441</v>
      </c>
      <c r="C117" s="100" t="s">
        <v>552</v>
      </c>
      <c r="D117" s="100" t="s">
        <v>446</v>
      </c>
      <c r="E117" s="1296"/>
      <c r="F117" s="1296"/>
      <c r="G117" s="1296"/>
      <c r="H117" s="1296"/>
      <c r="I117" s="1296"/>
      <c r="J117" s="1296"/>
      <c r="K117" s="100">
        <v>1</v>
      </c>
      <c r="L117" s="100" t="s">
        <v>217</v>
      </c>
      <c r="M117" s="100">
        <v>38.173333333333332</v>
      </c>
      <c r="N117" s="1296"/>
      <c r="O117" s="1296"/>
      <c r="P117" s="1296"/>
      <c r="Q117" s="1297">
        <v>38.173333333333332</v>
      </c>
    </row>
    <row r="118" spans="1:17">
      <c r="A118" s="489">
        <v>118</v>
      </c>
      <c r="B118" s="100" t="s">
        <v>441</v>
      </c>
      <c r="C118" s="100" t="s">
        <v>553</v>
      </c>
      <c r="D118" s="100" t="s">
        <v>550</v>
      </c>
      <c r="E118" s="1296"/>
      <c r="F118" s="1296"/>
      <c r="G118" s="1296"/>
      <c r="H118" s="1296"/>
      <c r="I118" s="1296"/>
      <c r="J118" s="1296"/>
      <c r="K118" s="100"/>
      <c r="L118" s="100" t="s">
        <v>217</v>
      </c>
      <c r="M118" s="100" t="e">
        <v>#DIV/0!</v>
      </c>
      <c r="N118" s="1296"/>
      <c r="O118" s="1296"/>
      <c r="P118" s="1296"/>
      <c r="Q118" s="1297"/>
    </row>
    <row r="119" spans="1:17">
      <c r="A119" s="489">
        <v>119</v>
      </c>
      <c r="B119" s="100" t="s">
        <v>438</v>
      </c>
      <c r="C119" s="100" t="s">
        <v>554</v>
      </c>
      <c r="D119" s="100" t="s">
        <v>451</v>
      </c>
      <c r="E119" s="1296"/>
      <c r="F119" s="1296"/>
      <c r="G119" s="1296"/>
      <c r="H119" s="1296"/>
      <c r="I119" s="1296"/>
      <c r="J119" s="1296"/>
      <c r="K119" s="100">
        <v>2</v>
      </c>
      <c r="L119" s="100" t="s">
        <v>201</v>
      </c>
      <c r="M119" s="100">
        <v>5.354166666666667</v>
      </c>
      <c r="N119" s="1296"/>
      <c r="O119" s="1296"/>
      <c r="P119" s="1296"/>
      <c r="Q119" s="1297">
        <v>10.708333333333334</v>
      </c>
    </row>
    <row r="120" spans="1:17">
      <c r="A120" s="489">
        <v>120</v>
      </c>
      <c r="B120" s="100" t="s">
        <v>438</v>
      </c>
      <c r="C120" s="100" t="s">
        <v>555</v>
      </c>
      <c r="D120" s="100" t="s">
        <v>497</v>
      </c>
      <c r="E120" s="1296"/>
      <c r="F120" s="1296"/>
      <c r="G120" s="1296"/>
      <c r="H120" s="1296"/>
      <c r="I120" s="1296"/>
      <c r="J120" s="1296"/>
      <c r="K120" s="100">
        <v>4</v>
      </c>
      <c r="L120" s="100" t="s">
        <v>184</v>
      </c>
      <c r="M120" s="100">
        <v>5.0783333333333331</v>
      </c>
      <c r="N120" s="1296"/>
      <c r="O120" s="1296"/>
      <c r="P120" s="1296"/>
      <c r="Q120" s="1297">
        <v>20.313333333333333</v>
      </c>
    </row>
    <row r="121" spans="1:17">
      <c r="A121" s="489">
        <v>121</v>
      </c>
      <c r="B121" s="100" t="s">
        <v>433</v>
      </c>
      <c r="C121" s="100" t="s">
        <v>556</v>
      </c>
      <c r="D121" s="100" t="s">
        <v>437</v>
      </c>
      <c r="E121" s="1296"/>
      <c r="F121" s="1296"/>
      <c r="G121" s="1296"/>
      <c r="H121" s="1296"/>
      <c r="I121" s="1296"/>
      <c r="J121" s="1296"/>
      <c r="K121" s="100">
        <v>7.5</v>
      </c>
      <c r="L121" s="100" t="s">
        <v>184</v>
      </c>
      <c r="M121" s="100">
        <v>5.3046875</v>
      </c>
      <c r="N121" s="1296"/>
      <c r="O121" s="1296"/>
      <c r="P121" s="1296"/>
      <c r="Q121" s="1297">
        <v>39.78515625</v>
      </c>
    </row>
    <row r="122" spans="1:17">
      <c r="A122" s="489">
        <v>122</v>
      </c>
      <c r="B122" s="100" t="s">
        <v>433</v>
      </c>
      <c r="C122" s="100" t="s">
        <v>557</v>
      </c>
      <c r="D122" s="100" t="s">
        <v>435</v>
      </c>
      <c r="E122" s="1296"/>
      <c r="F122" s="1296"/>
      <c r="G122" s="1296"/>
      <c r="H122" s="1296"/>
      <c r="I122" s="1296"/>
      <c r="J122" s="1296"/>
      <c r="K122" s="100"/>
      <c r="L122" s="100"/>
      <c r="M122" s="100"/>
      <c r="N122" s="1296"/>
      <c r="O122" s="1296"/>
      <c r="P122" s="1296"/>
      <c r="Q122" s="1297"/>
    </row>
    <row r="123" spans="1:17">
      <c r="A123" s="489">
        <v>123</v>
      </c>
      <c r="B123" s="100" t="s">
        <v>433</v>
      </c>
      <c r="C123" s="100" t="s">
        <v>558</v>
      </c>
      <c r="D123" s="100" t="s">
        <v>435</v>
      </c>
      <c r="E123" s="1296"/>
      <c r="F123" s="1296"/>
      <c r="G123" s="1296"/>
      <c r="H123" s="1296"/>
      <c r="I123" s="1296"/>
      <c r="J123" s="1296"/>
      <c r="K123" s="100"/>
      <c r="L123" s="100"/>
      <c r="M123" s="100"/>
      <c r="N123" s="1296"/>
      <c r="O123" s="1296"/>
      <c r="P123" s="1296"/>
      <c r="Q123" s="1297"/>
    </row>
    <row r="124" spans="1:17">
      <c r="A124" s="489">
        <v>124</v>
      </c>
      <c r="B124" s="100" t="s">
        <v>433</v>
      </c>
      <c r="C124" s="100" t="s">
        <v>559</v>
      </c>
      <c r="D124" s="100" t="s">
        <v>435</v>
      </c>
      <c r="E124" s="1296"/>
      <c r="F124" s="1296"/>
      <c r="G124" s="1296"/>
      <c r="H124" s="1296"/>
      <c r="I124" s="1296"/>
      <c r="J124" s="1296"/>
      <c r="K124" s="100"/>
      <c r="L124" s="100"/>
      <c r="M124" s="100"/>
      <c r="N124" s="1296"/>
      <c r="O124" s="1296"/>
      <c r="P124" s="1296"/>
      <c r="Q124" s="1297"/>
    </row>
    <row r="125" spans="1:17">
      <c r="A125" s="489">
        <v>125</v>
      </c>
      <c r="B125" s="100" t="s">
        <v>438</v>
      </c>
      <c r="C125" s="100" t="s">
        <v>560</v>
      </c>
      <c r="D125" s="100" t="s">
        <v>469</v>
      </c>
      <c r="E125" s="1296"/>
      <c r="F125" s="1296"/>
      <c r="G125" s="1296"/>
      <c r="H125" s="1296"/>
      <c r="I125" s="100"/>
      <c r="J125" s="100"/>
      <c r="K125" s="100">
        <v>10</v>
      </c>
      <c r="L125" s="100" t="s">
        <v>217</v>
      </c>
      <c r="M125" s="100">
        <v>0.48333333333333328</v>
      </c>
      <c r="N125" s="1296"/>
      <c r="O125" s="1296"/>
      <c r="P125" s="1296"/>
      <c r="Q125" s="1297">
        <v>4.833333333333333</v>
      </c>
    </row>
    <row r="126" spans="1:17">
      <c r="A126" s="489">
        <v>126</v>
      </c>
      <c r="B126" s="100" t="s">
        <v>441</v>
      </c>
      <c r="C126" s="100" t="s">
        <v>561</v>
      </c>
      <c r="D126" s="100" t="s">
        <v>451</v>
      </c>
      <c r="E126" s="1296"/>
      <c r="F126" s="1296"/>
      <c r="G126" s="1296"/>
      <c r="H126" s="1296"/>
      <c r="I126" s="1296"/>
      <c r="J126" s="1296"/>
      <c r="K126" s="100">
        <v>8</v>
      </c>
      <c r="L126" s="100" t="s">
        <v>204</v>
      </c>
      <c r="M126" s="100">
        <v>6.9231249999999998</v>
      </c>
      <c r="N126" s="1296"/>
      <c r="O126" s="1296"/>
      <c r="P126" s="1296"/>
      <c r="Q126" s="1297">
        <v>55.384999999999998</v>
      </c>
    </row>
    <row r="127" spans="1:17">
      <c r="A127" s="489">
        <v>127</v>
      </c>
      <c r="B127" s="100" t="s">
        <v>438</v>
      </c>
      <c r="C127" s="100" t="s">
        <v>562</v>
      </c>
      <c r="D127" s="100" t="s">
        <v>563</v>
      </c>
      <c r="E127" s="1296"/>
      <c r="F127" s="1296"/>
      <c r="G127" s="1296"/>
      <c r="H127" s="1296"/>
      <c r="I127" s="1296"/>
      <c r="J127" s="1296"/>
      <c r="K127" s="100">
        <v>27</v>
      </c>
      <c r="L127" s="100" t="s">
        <v>184</v>
      </c>
      <c r="M127" s="100">
        <v>0.40999999999999992</v>
      </c>
      <c r="N127" s="1296"/>
      <c r="O127" s="1296"/>
      <c r="P127" s="1296"/>
      <c r="Q127" s="1297">
        <v>11.069999999999999</v>
      </c>
    </row>
    <row r="128" spans="1:17">
      <c r="A128" s="489">
        <v>128</v>
      </c>
      <c r="B128" s="100" t="s">
        <v>438</v>
      </c>
      <c r="C128" s="100" t="s">
        <v>562</v>
      </c>
      <c r="D128" s="100" t="s">
        <v>563</v>
      </c>
      <c r="E128" s="1296"/>
      <c r="F128" s="1296"/>
      <c r="G128" s="1296"/>
      <c r="H128" s="1296"/>
      <c r="I128" s="1296"/>
      <c r="J128" s="1296"/>
      <c r="K128" s="100">
        <v>72</v>
      </c>
      <c r="L128" s="100" t="s">
        <v>184</v>
      </c>
      <c r="M128" s="100">
        <v>0.41</v>
      </c>
      <c r="N128" s="1296"/>
      <c r="O128" s="1296"/>
      <c r="P128" s="1296"/>
      <c r="Q128" s="1297">
        <v>29.52</v>
      </c>
    </row>
    <row r="129" spans="1:17">
      <c r="A129" s="489">
        <v>129</v>
      </c>
      <c r="B129" s="100" t="s">
        <v>433</v>
      </c>
      <c r="C129" s="100" t="s">
        <v>564</v>
      </c>
      <c r="D129" s="100" t="s">
        <v>446</v>
      </c>
      <c r="E129" s="1296"/>
      <c r="F129" s="1296"/>
      <c r="G129" s="1296"/>
      <c r="H129" s="1296"/>
      <c r="I129" s="1296"/>
      <c r="J129" s="1296"/>
      <c r="K129" s="100"/>
      <c r="L129" s="100" t="s">
        <v>217</v>
      </c>
      <c r="M129" s="100"/>
      <c r="N129" s="1296"/>
      <c r="O129" s="1296"/>
      <c r="P129" s="1296"/>
      <c r="Q129" s="1297"/>
    </row>
    <row r="130" spans="1:17">
      <c r="A130" s="393">
        <v>130</v>
      </c>
      <c r="B130" s="334" t="s">
        <v>438</v>
      </c>
      <c r="C130" s="334" t="s">
        <v>565</v>
      </c>
      <c r="D130" s="334" t="s">
        <v>515</v>
      </c>
      <c r="E130" s="1298"/>
      <c r="F130" s="1298"/>
      <c r="G130" s="1298"/>
      <c r="H130" s="1298"/>
      <c r="I130" s="1298"/>
      <c r="J130" s="1298"/>
      <c r="K130" s="334">
        <v>5</v>
      </c>
      <c r="L130" s="334" t="s">
        <v>217</v>
      </c>
      <c r="M130" s="334">
        <v>0.75</v>
      </c>
      <c r="N130" s="1298"/>
      <c r="O130" s="1298"/>
      <c r="P130" s="1298"/>
      <c r="Q130" s="1303">
        <v>3.75</v>
      </c>
    </row>
    <row r="131" spans="1:17">
      <c r="A131" s="496">
        <v>131</v>
      </c>
      <c r="B131" s="328" t="s">
        <v>433</v>
      </c>
      <c r="C131" s="328" t="s">
        <v>566</v>
      </c>
      <c r="D131" s="328" t="s">
        <v>437</v>
      </c>
      <c r="E131" s="1302"/>
      <c r="F131" s="1302"/>
      <c r="G131" s="1302"/>
      <c r="H131" s="1302"/>
      <c r="I131" s="1302"/>
      <c r="J131" s="1302"/>
      <c r="K131" s="328">
        <v>2.8</v>
      </c>
      <c r="L131" s="328" t="s">
        <v>184</v>
      </c>
      <c r="M131" s="328">
        <v>2.859375</v>
      </c>
      <c r="N131" s="1302"/>
      <c r="O131" s="1302"/>
      <c r="P131" s="1302"/>
      <c r="Q131" s="1304">
        <v>8.0062499999999996</v>
      </c>
    </row>
    <row r="132" spans="1:17">
      <c r="A132" s="489">
        <v>132</v>
      </c>
      <c r="B132" s="100" t="s">
        <v>438</v>
      </c>
      <c r="C132" s="100" t="s">
        <v>567</v>
      </c>
      <c r="D132" s="100" t="s">
        <v>446</v>
      </c>
      <c r="E132" s="1296"/>
      <c r="F132" s="1296"/>
      <c r="G132" s="1296"/>
      <c r="H132" s="1296"/>
      <c r="I132" s="1296"/>
      <c r="J132" s="1296"/>
      <c r="K132" s="100">
        <v>8</v>
      </c>
      <c r="L132" s="100" t="s">
        <v>184</v>
      </c>
      <c r="M132" s="100">
        <v>1.069375</v>
      </c>
      <c r="N132" s="1296"/>
      <c r="O132" s="1296"/>
      <c r="P132" s="1296"/>
      <c r="Q132" s="1297">
        <v>8.5549999999999997</v>
      </c>
    </row>
    <row r="133" spans="1:17">
      <c r="A133" s="489">
        <v>133</v>
      </c>
      <c r="B133" s="100" t="s">
        <v>438</v>
      </c>
      <c r="C133" s="100" t="s">
        <v>568</v>
      </c>
      <c r="D133" s="100" t="s">
        <v>569</v>
      </c>
      <c r="E133" s="1296"/>
      <c r="F133" s="1296"/>
      <c r="G133" s="1296"/>
      <c r="H133" s="1296"/>
      <c r="I133" s="1296"/>
      <c r="J133" s="1296"/>
      <c r="K133" s="100">
        <v>3</v>
      </c>
      <c r="L133" s="100" t="s">
        <v>184</v>
      </c>
      <c r="M133" s="100">
        <v>3.36</v>
      </c>
      <c r="N133" s="1296"/>
      <c r="O133" s="1296"/>
      <c r="P133" s="1296"/>
      <c r="Q133" s="1297">
        <v>10.08</v>
      </c>
    </row>
    <row r="134" spans="1:17">
      <c r="A134" s="489">
        <v>134</v>
      </c>
      <c r="B134" s="100" t="s">
        <v>438</v>
      </c>
      <c r="C134" s="100" t="s">
        <v>568</v>
      </c>
      <c r="D134" s="100" t="s">
        <v>569</v>
      </c>
      <c r="E134" s="1296"/>
      <c r="F134" s="1296"/>
      <c r="G134" s="1296"/>
      <c r="H134" s="1296"/>
      <c r="I134" s="1296"/>
      <c r="J134" s="1296"/>
      <c r="K134" s="100">
        <v>5</v>
      </c>
      <c r="L134" s="100" t="s">
        <v>184</v>
      </c>
      <c r="M134" s="100">
        <v>3.3600000000000003</v>
      </c>
      <c r="N134" s="1296"/>
      <c r="O134" s="1296"/>
      <c r="P134" s="1296"/>
      <c r="Q134" s="1297">
        <v>16.8</v>
      </c>
    </row>
    <row r="135" spans="1:17">
      <c r="A135" s="489">
        <v>135</v>
      </c>
      <c r="B135" s="100" t="s">
        <v>433</v>
      </c>
      <c r="C135" s="100" t="s">
        <v>570</v>
      </c>
      <c r="D135" s="100" t="s">
        <v>451</v>
      </c>
      <c r="E135" s="1296"/>
      <c r="F135" s="1296"/>
      <c r="G135" s="1296"/>
      <c r="H135" s="1296"/>
      <c r="I135" s="1296"/>
      <c r="J135" s="1296"/>
      <c r="K135" s="100">
        <v>1.5</v>
      </c>
      <c r="L135" s="100" t="s">
        <v>201</v>
      </c>
      <c r="M135" s="100">
        <v>8.25</v>
      </c>
      <c r="N135" s="1296"/>
      <c r="O135" s="1296"/>
      <c r="P135" s="1296"/>
      <c r="Q135" s="1297">
        <v>12.375</v>
      </c>
    </row>
    <row r="136" spans="1:17">
      <c r="A136" s="489">
        <v>136</v>
      </c>
      <c r="B136" s="100" t="s">
        <v>433</v>
      </c>
      <c r="C136" s="100" t="s">
        <v>571</v>
      </c>
      <c r="D136" s="100" t="s">
        <v>437</v>
      </c>
      <c r="E136" s="1296"/>
      <c r="F136" s="1296"/>
      <c r="G136" s="1296"/>
      <c r="H136" s="1296"/>
      <c r="I136" s="1296"/>
      <c r="J136" s="1296"/>
      <c r="K136" s="100">
        <v>5.12</v>
      </c>
      <c r="L136" s="100" t="s">
        <v>184</v>
      </c>
      <c r="M136" s="100">
        <v>1.9857031250000001</v>
      </c>
      <c r="N136" s="1296"/>
      <c r="O136" s="1296"/>
      <c r="P136" s="1296"/>
      <c r="Q136" s="1297">
        <v>10.1668</v>
      </c>
    </row>
    <row r="137" spans="1:17">
      <c r="A137" s="489">
        <v>137</v>
      </c>
      <c r="B137" s="100" t="s">
        <v>433</v>
      </c>
      <c r="C137" s="100" t="s">
        <v>572</v>
      </c>
      <c r="D137" s="100" t="s">
        <v>573</v>
      </c>
      <c r="E137" s="1296"/>
      <c r="F137" s="1296"/>
      <c r="G137" s="1296"/>
      <c r="H137" s="1296"/>
      <c r="I137" s="1296"/>
      <c r="J137" s="1296"/>
      <c r="K137" s="100">
        <v>2</v>
      </c>
      <c r="L137" s="100" t="s">
        <v>184</v>
      </c>
      <c r="M137" s="100">
        <v>18.629285714285714</v>
      </c>
      <c r="N137" s="1296"/>
      <c r="O137" s="1296"/>
      <c r="P137" s="1296"/>
      <c r="Q137" s="1297">
        <v>37.258571428571429</v>
      </c>
    </row>
    <row r="138" spans="1:17">
      <c r="A138" s="489">
        <v>138</v>
      </c>
      <c r="B138" s="100" t="s">
        <v>433</v>
      </c>
      <c r="C138" s="100" t="s">
        <v>574</v>
      </c>
      <c r="D138" s="100" t="s">
        <v>544</v>
      </c>
      <c r="E138" s="1296"/>
      <c r="F138" s="1296"/>
      <c r="G138" s="1296"/>
      <c r="H138" s="1296"/>
      <c r="I138" s="1296"/>
      <c r="J138" s="1296"/>
      <c r="K138" s="100"/>
      <c r="L138" s="100"/>
      <c r="M138" s="100"/>
      <c r="N138" s="1296"/>
      <c r="O138" s="1296"/>
      <c r="P138" s="1296"/>
      <c r="Q138" s="1297"/>
    </row>
    <row r="139" spans="1:17">
      <c r="A139" s="489">
        <v>139</v>
      </c>
      <c r="B139" s="100" t="s">
        <v>438</v>
      </c>
      <c r="C139" s="100" t="s">
        <v>575</v>
      </c>
      <c r="D139" s="100" t="s">
        <v>576</v>
      </c>
      <c r="E139" s="1296"/>
      <c r="F139" s="1296"/>
      <c r="G139" s="1296"/>
      <c r="H139" s="1296"/>
      <c r="I139" s="1296"/>
      <c r="J139" s="1296"/>
      <c r="K139" s="100">
        <v>4</v>
      </c>
      <c r="L139" s="100" t="s">
        <v>217</v>
      </c>
      <c r="M139" s="100">
        <v>3.3933333333333331</v>
      </c>
      <c r="N139" s="1296"/>
      <c r="O139" s="1296"/>
      <c r="P139" s="1296"/>
      <c r="Q139" s="1297">
        <v>13.573333333333332</v>
      </c>
    </row>
    <row r="140" spans="1:17">
      <c r="A140" s="489">
        <v>140</v>
      </c>
      <c r="B140" s="100"/>
      <c r="C140" s="100"/>
      <c r="D140" s="100"/>
      <c r="E140" s="1296"/>
      <c r="F140" s="1296"/>
      <c r="G140" s="1296"/>
      <c r="H140" s="100"/>
      <c r="I140" s="1296"/>
      <c r="J140" s="100"/>
      <c r="K140" s="100"/>
      <c r="L140" s="100"/>
      <c r="M140" s="100"/>
      <c r="N140" s="1296"/>
      <c r="O140" s="1296"/>
      <c r="P140" s="1296"/>
      <c r="Q140" s="1297"/>
    </row>
    <row r="141" spans="1:17">
      <c r="A141" s="489">
        <v>141</v>
      </c>
      <c r="B141" s="100"/>
      <c r="C141" s="100"/>
      <c r="D141" s="100"/>
      <c r="E141" s="1296"/>
      <c r="F141" s="1296"/>
      <c r="G141" s="1296"/>
      <c r="H141" s="100"/>
      <c r="I141" s="100"/>
      <c r="J141" s="100"/>
      <c r="K141" s="100"/>
      <c r="L141" s="100"/>
      <c r="M141" s="100"/>
      <c r="N141" s="1296"/>
      <c r="O141" s="1296"/>
      <c r="P141" s="1296"/>
      <c r="Q141" s="1297"/>
    </row>
    <row r="142" spans="1:17">
      <c r="A142" s="489">
        <v>142</v>
      </c>
      <c r="B142" s="100"/>
      <c r="C142" s="100"/>
      <c r="D142" s="100"/>
      <c r="E142" s="1296"/>
      <c r="F142" s="1296"/>
      <c r="G142" s="1296"/>
      <c r="H142" s="100"/>
      <c r="I142" s="1296"/>
      <c r="J142" s="1296"/>
      <c r="K142" s="100"/>
      <c r="L142" s="100"/>
      <c r="M142" s="100"/>
      <c r="N142" s="1296"/>
      <c r="O142" s="1296"/>
      <c r="P142" s="1296"/>
      <c r="Q142" s="1297"/>
    </row>
    <row r="143" spans="1:17">
      <c r="A143" s="489">
        <v>143</v>
      </c>
      <c r="B143" s="100" t="s">
        <v>577</v>
      </c>
      <c r="C143" s="100" t="s">
        <v>578</v>
      </c>
      <c r="D143" s="100" t="s">
        <v>467</v>
      </c>
      <c r="E143" s="1296"/>
      <c r="F143" s="1296"/>
      <c r="G143" s="1296"/>
      <c r="H143" s="100"/>
      <c r="I143" s="1296"/>
      <c r="J143" s="1296"/>
      <c r="K143" s="100">
        <v>1</v>
      </c>
      <c r="L143" s="100" t="s">
        <v>189</v>
      </c>
      <c r="M143" s="100">
        <v>5</v>
      </c>
      <c r="N143" s="1296"/>
      <c r="O143" s="1296"/>
      <c r="P143" s="1296"/>
      <c r="Q143" s="1297">
        <v>5</v>
      </c>
    </row>
    <row r="144" spans="1:17">
      <c r="A144" s="489">
        <v>144</v>
      </c>
      <c r="B144" s="100" t="s">
        <v>577</v>
      </c>
      <c r="C144" s="100" t="s">
        <v>579</v>
      </c>
      <c r="D144" s="100" t="s">
        <v>451</v>
      </c>
      <c r="E144" s="1296"/>
      <c r="F144" s="1296"/>
      <c r="G144" s="1296"/>
      <c r="H144" s="100"/>
      <c r="I144" s="1296"/>
      <c r="J144" s="1296"/>
      <c r="K144" s="100">
        <v>2.8</v>
      </c>
      <c r="L144" s="100" t="s">
        <v>204</v>
      </c>
      <c r="M144" s="100">
        <v>2.68</v>
      </c>
      <c r="N144" s="1296"/>
      <c r="O144" s="1296"/>
      <c r="P144" s="1296"/>
      <c r="Q144" s="1297">
        <v>7.5039999999999996</v>
      </c>
    </row>
    <row r="145" spans="1:17">
      <c r="A145" s="489">
        <v>145</v>
      </c>
      <c r="B145" s="100" t="s">
        <v>577</v>
      </c>
      <c r="C145" s="100" t="s">
        <v>580</v>
      </c>
      <c r="D145" s="100" t="s">
        <v>454</v>
      </c>
      <c r="E145" s="1296"/>
      <c r="F145" s="1296"/>
      <c r="G145" s="1296"/>
      <c r="H145" s="100"/>
      <c r="I145" s="1296"/>
      <c r="J145" s="1296"/>
      <c r="K145" s="100">
        <v>2</v>
      </c>
      <c r="L145" s="100" t="s">
        <v>217</v>
      </c>
      <c r="M145" s="100">
        <v>2.98</v>
      </c>
      <c r="N145" s="1296"/>
      <c r="O145" s="1296"/>
      <c r="P145" s="1296"/>
      <c r="Q145" s="1297">
        <v>5.96</v>
      </c>
    </row>
    <row r="146" spans="1:17">
      <c r="A146" s="489">
        <v>146</v>
      </c>
      <c r="B146" s="100" t="s">
        <v>577</v>
      </c>
      <c r="C146" s="100" t="s">
        <v>581</v>
      </c>
      <c r="D146" s="100" t="s">
        <v>451</v>
      </c>
      <c r="E146" s="1296"/>
      <c r="F146" s="1296"/>
      <c r="G146" s="1296"/>
      <c r="H146" s="100"/>
      <c r="I146" s="1296"/>
      <c r="J146" s="1296"/>
      <c r="K146" s="100">
        <v>1</v>
      </c>
      <c r="L146" s="100" t="s">
        <v>204</v>
      </c>
      <c r="M146" s="100">
        <v>2.2000000000000002</v>
      </c>
      <c r="N146" s="1296"/>
      <c r="O146" s="1296"/>
      <c r="P146" s="1296"/>
      <c r="Q146" s="1297">
        <v>2.2000000000000002</v>
      </c>
    </row>
    <row r="147" spans="1:17">
      <c r="A147" s="489">
        <v>147</v>
      </c>
      <c r="B147" s="100" t="s">
        <v>577</v>
      </c>
      <c r="C147" s="100" t="s">
        <v>582</v>
      </c>
      <c r="D147" s="100" t="s">
        <v>451</v>
      </c>
      <c r="E147" s="1296"/>
      <c r="F147" s="1296"/>
      <c r="G147" s="1296"/>
      <c r="H147" s="100"/>
      <c r="I147" s="1296"/>
      <c r="J147" s="1296"/>
      <c r="K147" s="100">
        <v>2</v>
      </c>
      <c r="L147" s="100" t="s">
        <v>201</v>
      </c>
      <c r="M147" s="100">
        <v>2.4500000000000002</v>
      </c>
      <c r="N147" s="1296"/>
      <c r="O147" s="1296"/>
      <c r="P147" s="1296"/>
      <c r="Q147" s="1297">
        <v>4.9000000000000004</v>
      </c>
    </row>
    <row r="148" spans="1:17">
      <c r="A148" s="489">
        <v>148</v>
      </c>
      <c r="B148" s="100" t="s">
        <v>577</v>
      </c>
      <c r="C148" s="100" t="s">
        <v>583</v>
      </c>
      <c r="D148" s="100" t="s">
        <v>454</v>
      </c>
      <c r="E148" s="1296"/>
      <c r="F148" s="1296"/>
      <c r="G148" s="1296"/>
      <c r="H148" s="100"/>
      <c r="I148" s="1296"/>
      <c r="J148" s="1296"/>
      <c r="K148" s="100">
        <v>5</v>
      </c>
      <c r="L148" s="100" t="s">
        <v>217</v>
      </c>
      <c r="M148" s="100">
        <v>1.25</v>
      </c>
      <c r="N148" s="1296"/>
      <c r="O148" s="1296"/>
      <c r="P148" s="1296"/>
      <c r="Q148" s="1297">
        <v>6.25</v>
      </c>
    </row>
    <row r="149" spans="1:17">
      <c r="A149" s="489">
        <v>149</v>
      </c>
      <c r="B149" s="100" t="s">
        <v>577</v>
      </c>
      <c r="C149" s="100" t="s">
        <v>584</v>
      </c>
      <c r="D149" s="100" t="s">
        <v>454</v>
      </c>
      <c r="E149" s="1296"/>
      <c r="F149" s="1296"/>
      <c r="G149" s="1296"/>
      <c r="H149" s="100"/>
      <c r="I149" s="1296"/>
      <c r="J149" s="1296"/>
      <c r="K149" s="100">
        <v>5</v>
      </c>
      <c r="L149" s="100" t="s">
        <v>217</v>
      </c>
      <c r="M149" s="100">
        <v>1</v>
      </c>
      <c r="N149" s="1296"/>
      <c r="O149" s="1296"/>
      <c r="P149" s="1296"/>
      <c r="Q149" s="1297">
        <v>5</v>
      </c>
    </row>
    <row r="150" spans="1:17">
      <c r="A150" s="489">
        <v>150</v>
      </c>
      <c r="B150" s="100" t="s">
        <v>577</v>
      </c>
      <c r="C150" s="100" t="s">
        <v>585</v>
      </c>
      <c r="D150" s="100" t="s">
        <v>451</v>
      </c>
      <c r="E150" s="1296"/>
      <c r="F150" s="1296"/>
      <c r="G150" s="1296"/>
      <c r="H150" s="100"/>
      <c r="I150" s="1296"/>
      <c r="J150" s="1296"/>
      <c r="K150" s="100">
        <v>2</v>
      </c>
      <c r="L150" s="100" t="s">
        <v>201</v>
      </c>
      <c r="M150" s="100">
        <v>4</v>
      </c>
      <c r="N150" s="1296"/>
      <c r="O150" s="1296"/>
      <c r="P150" s="1296"/>
      <c r="Q150" s="1297">
        <v>8</v>
      </c>
    </row>
    <row r="151" spans="1:17">
      <c r="A151" s="489">
        <v>151</v>
      </c>
      <c r="B151" s="100" t="s">
        <v>577</v>
      </c>
      <c r="C151" s="100" t="s">
        <v>585</v>
      </c>
      <c r="D151" s="100" t="s">
        <v>467</v>
      </c>
      <c r="E151" s="1296"/>
      <c r="F151" s="1296"/>
      <c r="G151" s="1296"/>
      <c r="H151" s="100"/>
      <c r="I151" s="1296"/>
      <c r="J151" s="1296"/>
      <c r="K151" s="100">
        <v>2</v>
      </c>
      <c r="L151" s="100" t="s">
        <v>201</v>
      </c>
      <c r="M151" s="100">
        <v>3.5</v>
      </c>
      <c r="N151" s="1296"/>
      <c r="O151" s="1296"/>
      <c r="P151" s="1296"/>
      <c r="Q151" s="1297">
        <v>7</v>
      </c>
    </row>
    <row r="152" spans="1:17">
      <c r="A152" s="489">
        <v>152</v>
      </c>
      <c r="B152" s="100" t="s">
        <v>577</v>
      </c>
      <c r="C152" s="100" t="s">
        <v>586</v>
      </c>
      <c r="D152" s="100" t="s">
        <v>451</v>
      </c>
      <c r="E152" s="1296"/>
      <c r="F152" s="1296"/>
      <c r="G152" s="1296"/>
      <c r="H152" s="100"/>
      <c r="I152" s="1296"/>
      <c r="J152" s="1296"/>
      <c r="K152" s="100">
        <v>1</v>
      </c>
      <c r="L152" s="100" t="s">
        <v>201</v>
      </c>
      <c r="M152" s="100">
        <v>8</v>
      </c>
      <c r="N152" s="1296"/>
      <c r="O152" s="1296"/>
      <c r="P152" s="1296"/>
      <c r="Q152" s="1297">
        <v>8</v>
      </c>
    </row>
    <row r="153" spans="1:17">
      <c r="A153" s="489">
        <v>153</v>
      </c>
      <c r="B153" s="100" t="s">
        <v>577</v>
      </c>
      <c r="C153" s="100" t="s">
        <v>587</v>
      </c>
      <c r="D153" s="100" t="s">
        <v>451</v>
      </c>
      <c r="E153" s="1296"/>
      <c r="F153" s="1296"/>
      <c r="G153" s="1296"/>
      <c r="H153" s="100"/>
      <c r="I153" s="1296"/>
      <c r="J153" s="1296"/>
      <c r="K153" s="100">
        <v>1</v>
      </c>
      <c r="L153" s="100" t="s">
        <v>201</v>
      </c>
      <c r="M153" s="100">
        <v>8.5</v>
      </c>
      <c r="N153" s="1296"/>
      <c r="O153" s="1296"/>
      <c r="P153" s="1296"/>
      <c r="Q153" s="1297">
        <v>8.5</v>
      </c>
    </row>
    <row r="154" spans="1:17">
      <c r="A154" s="489">
        <v>154</v>
      </c>
      <c r="B154" s="100" t="s">
        <v>577</v>
      </c>
      <c r="C154" s="100" t="s">
        <v>588</v>
      </c>
      <c r="D154" s="100" t="s">
        <v>467</v>
      </c>
      <c r="E154" s="1296"/>
      <c r="F154" s="1296"/>
      <c r="G154" s="1296"/>
      <c r="H154" s="100"/>
      <c r="I154" s="1296"/>
      <c r="J154" s="1296"/>
      <c r="K154" s="100">
        <v>2</v>
      </c>
      <c r="L154" s="100" t="s">
        <v>189</v>
      </c>
      <c r="M154" s="100">
        <v>11.8</v>
      </c>
      <c r="N154" s="1296"/>
      <c r="O154" s="1296"/>
      <c r="P154" s="1296"/>
      <c r="Q154" s="1297">
        <v>23.6</v>
      </c>
    </row>
    <row r="155" spans="1:17">
      <c r="A155" s="489">
        <v>155</v>
      </c>
      <c r="B155" s="100" t="s">
        <v>577</v>
      </c>
      <c r="C155" s="100" t="s">
        <v>589</v>
      </c>
      <c r="D155" s="100" t="s">
        <v>451</v>
      </c>
      <c r="E155" s="1296"/>
      <c r="F155" s="1296"/>
      <c r="G155" s="1296"/>
      <c r="H155" s="100"/>
      <c r="I155" s="1296"/>
      <c r="J155" s="1296"/>
      <c r="K155" s="100">
        <v>1</v>
      </c>
      <c r="L155" s="100" t="s">
        <v>204</v>
      </c>
      <c r="M155" s="100">
        <v>2.75</v>
      </c>
      <c r="N155" s="1296"/>
      <c r="O155" s="1296"/>
      <c r="P155" s="1296"/>
      <c r="Q155" s="1297">
        <v>2.75</v>
      </c>
    </row>
    <row r="156" spans="1:17">
      <c r="A156" s="489">
        <v>156</v>
      </c>
      <c r="B156" s="100" t="s">
        <v>577</v>
      </c>
      <c r="C156" s="100" t="s">
        <v>590</v>
      </c>
      <c r="D156" s="100" t="s">
        <v>469</v>
      </c>
      <c r="E156" s="1296"/>
      <c r="F156" s="1296"/>
      <c r="G156" s="1296"/>
      <c r="H156" s="100"/>
      <c r="I156" s="1296"/>
      <c r="J156" s="1296"/>
      <c r="K156" s="100"/>
      <c r="L156" s="100"/>
      <c r="M156" s="100"/>
      <c r="N156" s="100"/>
      <c r="O156" s="100"/>
      <c r="P156" s="1296"/>
      <c r="Q156" s="1056"/>
    </row>
    <row r="157" spans="1:17">
      <c r="A157" s="489"/>
      <c r="B157" s="100"/>
      <c r="C157" s="100"/>
      <c r="D157" s="100"/>
      <c r="E157" s="100"/>
      <c r="F157" s="100"/>
      <c r="G157" s="100"/>
      <c r="H157" s="100"/>
      <c r="I157" s="1296"/>
      <c r="J157" s="1296"/>
      <c r="K157" s="100"/>
      <c r="L157" s="100"/>
      <c r="M157" s="100"/>
      <c r="N157" s="100"/>
      <c r="O157" s="100"/>
      <c r="P157" s="1296"/>
      <c r="Q157" s="1056"/>
    </row>
    <row r="158" spans="1:17">
      <c r="A158" s="489"/>
      <c r="B158" s="100"/>
      <c r="C158" s="100"/>
      <c r="D158" s="100"/>
      <c r="E158" s="100"/>
      <c r="F158" s="100"/>
      <c r="G158" s="100"/>
      <c r="H158" s="100"/>
      <c r="I158" s="1296"/>
      <c r="J158" s="1296"/>
      <c r="K158" s="100"/>
      <c r="L158" s="100"/>
      <c r="M158" s="100"/>
      <c r="N158" s="100"/>
      <c r="O158" s="100"/>
      <c r="P158" s="1296"/>
      <c r="Q158" s="1056"/>
    </row>
    <row r="159" spans="1:17">
      <c r="A159" s="489"/>
      <c r="B159" s="100"/>
      <c r="C159" s="100"/>
      <c r="D159" s="100"/>
      <c r="E159" s="100"/>
      <c r="F159" s="100"/>
      <c r="G159" s="100"/>
      <c r="H159" s="100"/>
      <c r="I159" s="1296"/>
      <c r="J159" s="1296"/>
      <c r="K159" s="100"/>
      <c r="L159" s="100"/>
      <c r="M159" s="100"/>
      <c r="N159" s="100"/>
      <c r="O159" s="100"/>
      <c r="P159" s="1296"/>
      <c r="Q159" s="1056"/>
    </row>
    <row r="160" spans="1:17">
      <c r="A160" s="393"/>
      <c r="B160" s="334"/>
      <c r="C160" s="334"/>
      <c r="D160" s="334"/>
      <c r="E160" s="334"/>
      <c r="F160" s="334"/>
      <c r="G160" s="334"/>
      <c r="H160" s="334"/>
      <c r="I160" s="1298"/>
      <c r="J160" s="1298"/>
      <c r="K160" s="334"/>
      <c r="L160" s="334"/>
      <c r="M160" s="334"/>
      <c r="N160" s="334"/>
      <c r="O160" s="334"/>
      <c r="P160" s="1298"/>
      <c r="Q160" s="394"/>
    </row>
    <row r="161" spans="9:16">
      <c r="I161" s="138"/>
      <c r="J161" s="138"/>
      <c r="P161" s="138"/>
    </row>
    <row r="162" spans="9:16">
      <c r="I162" s="138"/>
      <c r="J162" s="138"/>
      <c r="P162" s="138"/>
    </row>
    <row r="163" spans="9:16">
      <c r="I163" s="138"/>
      <c r="J163" s="138"/>
      <c r="P163" s="138"/>
    </row>
    <row r="164" spans="9:16">
      <c r="I164" s="138"/>
      <c r="J164" s="138"/>
      <c r="P164" s="138"/>
    </row>
    <row r="165" spans="9:16">
      <c r="I165" s="138"/>
      <c r="J165" s="138"/>
      <c r="P165" s="138"/>
    </row>
    <row r="166" spans="9:16">
      <c r="I166" s="138"/>
      <c r="J166" s="138"/>
      <c r="P166" s="138"/>
    </row>
    <row r="167" spans="9:16">
      <c r="I167" s="138"/>
      <c r="J167" s="138"/>
      <c r="P167" s="138"/>
    </row>
    <row r="168" spans="9:16">
      <c r="I168" s="138"/>
      <c r="J168" s="138"/>
      <c r="P168" s="138"/>
    </row>
  </sheetData>
  <printOptions horizontalCentered="1"/>
  <pageMargins left="0.5" right="0.5" top="1" bottom="0.5" header="0.5" footer="0.5"/>
  <pageSetup orientation="portrait" horizontalDpi="300" verticalDpi="300" r:id="rId1"/>
  <headerFooter alignWithMargins="0">
    <oddHeader>&amp;A</oddHeader>
    <oddFooter>&amp;L&amp; www.APPLES.MSU.EDU  &amp;F&amp;RPage &amp;P&amp;  of &amp;N</oddFooter>
  </headerFooter>
  <rowBreaks count="3" manualBreakCount="3">
    <brk id="50" max="16383" man="1"/>
    <brk id="90" max="16383" man="1"/>
    <brk id="13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O70"/>
  <sheetViews>
    <sheetView workbookViewId="0">
      <pane ySplit="4" topLeftCell="A5" activePane="bottomLeft" state="frozen"/>
      <selection activeCell="H15" sqref="H15"/>
      <selection pane="bottomLeft" activeCell="H15" sqref="H15"/>
    </sheetView>
  </sheetViews>
  <sheetFormatPr defaultRowHeight="15" customHeight="1"/>
  <cols>
    <col min="1" max="1" width="4.5703125" style="119" customWidth="1"/>
    <col min="2" max="2" width="9.28515625" style="119" customWidth="1"/>
    <col min="3" max="3" width="5.42578125" style="119" customWidth="1"/>
    <col min="4" max="5" width="5.28515625" style="119" customWidth="1"/>
    <col min="6" max="6" width="5.42578125" style="119" customWidth="1"/>
    <col min="7" max="7" width="6.140625" style="119" customWidth="1"/>
    <col min="8" max="8" width="4" style="119" customWidth="1"/>
    <col min="9" max="11" width="9" style="119" customWidth="1"/>
    <col min="12" max="12" width="5.5703125" style="119" customWidth="1"/>
    <col min="13" max="13" width="4.7109375" style="119" customWidth="1"/>
    <col min="14" max="15" width="7.140625" style="119" customWidth="1"/>
    <col min="16" max="16384" width="9.140625" style="119"/>
  </cols>
  <sheetData>
    <row r="1" spans="1:15" ht="15" customHeight="1">
      <c r="A1" s="1289" t="s">
        <v>291</v>
      </c>
      <c r="B1" s="1290"/>
      <c r="C1" s="1291"/>
      <c r="D1" s="1291"/>
      <c r="E1" s="1291"/>
      <c r="F1" s="1291"/>
      <c r="G1" s="1291"/>
      <c r="H1" s="1291"/>
      <c r="I1" s="1291"/>
      <c r="J1" s="1291"/>
      <c r="K1" s="1291"/>
      <c r="L1" s="1292"/>
      <c r="M1" s="1291"/>
      <c r="N1" s="1292"/>
      <c r="O1" s="1293"/>
    </row>
    <row r="2" spans="1:15" ht="15" customHeight="1">
      <c r="A2" s="1286"/>
      <c r="B2" s="1260"/>
      <c r="C2" s="1260"/>
      <c r="D2" s="1260"/>
      <c r="E2" s="1260"/>
      <c r="F2" s="1260"/>
      <c r="G2" s="1260"/>
      <c r="H2" s="1273" t="s">
        <v>292</v>
      </c>
      <c r="I2" s="1273" t="s">
        <v>293</v>
      </c>
      <c r="J2" s="1273" t="s">
        <v>294</v>
      </c>
      <c r="K2" s="1287">
        <v>0.03</v>
      </c>
      <c r="L2" s="1276" t="s">
        <v>49</v>
      </c>
      <c r="M2" s="1273" t="s">
        <v>224</v>
      </c>
      <c r="N2" s="1276" t="s">
        <v>37</v>
      </c>
      <c r="O2" s="1288" t="s">
        <v>130</v>
      </c>
    </row>
    <row r="3" spans="1:15" ht="15" customHeight="1">
      <c r="A3" s="1044"/>
      <c r="B3" s="1021"/>
      <c r="C3" s="1021"/>
      <c r="D3" s="1031" t="s">
        <v>295</v>
      </c>
      <c r="E3" s="1031" t="s">
        <v>296</v>
      </c>
      <c r="F3" s="1031" t="s">
        <v>56</v>
      </c>
      <c r="G3" s="1031" t="s">
        <v>61</v>
      </c>
      <c r="H3" s="1031" t="s">
        <v>297</v>
      </c>
      <c r="I3" s="1278" t="s">
        <v>298</v>
      </c>
      <c r="J3" s="1031" t="s">
        <v>299</v>
      </c>
      <c r="K3" s="1031" t="s">
        <v>67</v>
      </c>
      <c r="L3" s="1033" t="s">
        <v>300</v>
      </c>
      <c r="M3" s="1031" t="s">
        <v>301</v>
      </c>
      <c r="N3" s="1033" t="s">
        <v>302</v>
      </c>
      <c r="O3" s="1279" t="s">
        <v>298</v>
      </c>
    </row>
    <row r="4" spans="1:15" s="1030" customFormat="1" ht="15" customHeight="1">
      <c r="A4" s="1280" t="s">
        <v>303</v>
      </c>
      <c r="B4" s="1281" t="s">
        <v>270</v>
      </c>
      <c r="C4" s="1282" t="s">
        <v>37</v>
      </c>
      <c r="D4" s="1282" t="s">
        <v>51</v>
      </c>
      <c r="E4" s="1282" t="s">
        <v>304</v>
      </c>
      <c r="F4" s="1282" t="s">
        <v>305</v>
      </c>
      <c r="G4" s="1266">
        <f>+IntRate*100</f>
        <v>6</v>
      </c>
      <c r="H4" s="1282" t="s">
        <v>306</v>
      </c>
      <c r="I4" s="1282" t="s">
        <v>307</v>
      </c>
      <c r="J4" s="1282" t="s">
        <v>308</v>
      </c>
      <c r="K4" s="1283" t="s">
        <v>309</v>
      </c>
      <c r="L4" s="1284" t="s">
        <v>51</v>
      </c>
      <c r="M4" s="1282" t="s">
        <v>310</v>
      </c>
      <c r="N4" s="1284" t="s">
        <v>311</v>
      </c>
      <c r="O4" s="1285" t="s">
        <v>312</v>
      </c>
    </row>
    <row r="5" spans="1:15" s="1030" customFormat="1" ht="15" customHeight="1">
      <c r="A5" s="1271"/>
      <c r="B5" s="1272"/>
      <c r="C5" s="1273"/>
      <c r="D5" s="1273"/>
      <c r="E5" s="1273"/>
      <c r="F5" s="1273"/>
      <c r="G5" s="1274"/>
      <c r="H5" s="1273"/>
      <c r="I5" s="1273"/>
      <c r="J5" s="1273"/>
      <c r="K5" s="1275"/>
      <c r="L5" s="1276"/>
      <c r="M5" s="1273"/>
      <c r="N5" s="1276"/>
      <c r="O5" s="1277"/>
    </row>
    <row r="6" spans="1:15" ht="15" customHeight="1">
      <c r="A6" s="1046">
        <v>1</v>
      </c>
      <c r="B6" s="1018" t="s">
        <v>313</v>
      </c>
      <c r="C6" s="1035">
        <v>20000</v>
      </c>
      <c r="D6" s="1035">
        <v>18000</v>
      </c>
      <c r="E6" s="1035">
        <v>5</v>
      </c>
      <c r="F6" s="1036">
        <f>D6/E6</f>
        <v>3600</v>
      </c>
      <c r="G6" s="1036">
        <f>D6/2*IntRate</f>
        <v>540</v>
      </c>
      <c r="H6" s="1037">
        <v>1.7327999999999999</v>
      </c>
      <c r="I6" s="1036">
        <f>Gas*H6*M6</f>
        <v>2166</v>
      </c>
      <c r="J6" s="1032">
        <v>720</v>
      </c>
      <c r="K6" s="1036">
        <f>EqOther*C6</f>
        <v>600</v>
      </c>
      <c r="L6" s="1036">
        <f>SUM(F6:G6)+SUM(I6:K6)</f>
        <v>7626</v>
      </c>
      <c r="M6" s="1038">
        <v>500</v>
      </c>
      <c r="N6" s="1039">
        <f>L6/M6</f>
        <v>15.252000000000001</v>
      </c>
      <c r="O6" s="1047">
        <f>N6</f>
        <v>15.252000000000001</v>
      </c>
    </row>
    <row r="7" spans="1:15" ht="15" customHeight="1">
      <c r="A7" s="1046"/>
      <c r="B7" s="1018"/>
      <c r="C7" s="1035"/>
      <c r="D7" s="1035"/>
      <c r="E7" s="1035"/>
      <c r="F7" s="1036"/>
      <c r="G7" s="1036"/>
      <c r="H7" s="1037"/>
      <c r="I7" s="1036"/>
      <c r="J7" s="1032"/>
      <c r="K7" s="1036"/>
      <c r="L7" s="1036"/>
      <c r="M7" s="1038"/>
      <c r="N7" s="1039"/>
      <c r="O7" s="1047"/>
    </row>
    <row r="8" spans="1:15" ht="15" customHeight="1">
      <c r="A8" s="1046">
        <v>2</v>
      </c>
      <c r="B8" s="1018" t="s">
        <v>314</v>
      </c>
      <c r="C8" s="1035">
        <v>50000</v>
      </c>
      <c r="D8" s="1035">
        <v>28800</v>
      </c>
      <c r="E8" s="1035">
        <v>10</v>
      </c>
      <c r="F8" s="1036">
        <f>D8/E8</f>
        <v>2880</v>
      </c>
      <c r="G8" s="1036">
        <f>D8/2*IntRate</f>
        <v>864</v>
      </c>
      <c r="H8" s="1037">
        <v>3.5</v>
      </c>
      <c r="I8" s="1036">
        <f>Diesel*H8*M8</f>
        <v>3850</v>
      </c>
      <c r="J8" s="1032">
        <v>390</v>
      </c>
      <c r="K8" s="1036">
        <f>EqOther*C8</f>
        <v>1500</v>
      </c>
      <c r="L8" s="1036">
        <f>SUM(F8:G8)+SUM(I8:K8)</f>
        <v>9484</v>
      </c>
      <c r="M8" s="1038">
        <v>400</v>
      </c>
      <c r="N8" s="1039">
        <f>L8/M8</f>
        <v>23.71</v>
      </c>
      <c r="O8" s="1047">
        <f>N8</f>
        <v>23.71</v>
      </c>
    </row>
    <row r="9" spans="1:15" ht="15" customHeight="1">
      <c r="A9" s="1046"/>
      <c r="B9" s="1018"/>
      <c r="C9" s="1035"/>
      <c r="D9" s="1035"/>
      <c r="E9" s="1035"/>
      <c r="F9" s="1036"/>
      <c r="G9" s="1036"/>
      <c r="H9" s="1037"/>
      <c r="I9" s="1036"/>
      <c r="J9" s="1032"/>
      <c r="K9" s="1036"/>
      <c r="L9" s="1036"/>
      <c r="M9" s="1038"/>
      <c r="N9" s="1039"/>
      <c r="O9" s="1047"/>
    </row>
    <row r="10" spans="1:15" ht="15" customHeight="1">
      <c r="A10" s="1046">
        <v>3</v>
      </c>
      <c r="B10" s="1018" t="s">
        <v>315</v>
      </c>
      <c r="C10" s="1035">
        <v>30000</v>
      </c>
      <c r="D10" s="1035">
        <v>11000</v>
      </c>
      <c r="E10" s="1035">
        <v>10</v>
      </c>
      <c r="F10" s="1036">
        <f>D10/E10</f>
        <v>1100</v>
      </c>
      <c r="G10" s="1036">
        <f t="shared" ref="G10:G24" si="0">D10/2*IntRate</f>
        <v>330</v>
      </c>
      <c r="H10" s="1037">
        <v>1.92</v>
      </c>
      <c r="I10" s="1036">
        <f>Diesel*H10*M10</f>
        <v>2111.9999999999995</v>
      </c>
      <c r="J10" s="1032">
        <v>420</v>
      </c>
      <c r="K10" s="1036">
        <f>EqOther*C10</f>
        <v>900</v>
      </c>
      <c r="L10" s="1036">
        <f>SUM(F10:G10)+SUM(I10:K10)</f>
        <v>4862</v>
      </c>
      <c r="M10" s="1038">
        <v>400</v>
      </c>
      <c r="N10" s="1039">
        <f>L10/M10</f>
        <v>12.154999999999999</v>
      </c>
      <c r="O10" s="1047">
        <f>N10</f>
        <v>12.154999999999999</v>
      </c>
    </row>
    <row r="11" spans="1:15" ht="15" customHeight="1">
      <c r="A11" s="1046"/>
      <c r="B11" s="1018"/>
      <c r="C11" s="1035"/>
      <c r="D11" s="1035"/>
      <c r="E11" s="1035"/>
      <c r="F11" s="1036"/>
      <c r="G11" s="1036"/>
      <c r="H11" s="1037"/>
      <c r="I11" s="1036"/>
      <c r="J11" s="1032"/>
      <c r="K11" s="1036"/>
      <c r="L11" s="1036"/>
      <c r="M11" s="1038"/>
      <c r="N11" s="1039"/>
      <c r="O11" s="1047"/>
    </row>
    <row r="12" spans="1:15" ht="15" customHeight="1">
      <c r="A12" s="1046">
        <v>4</v>
      </c>
      <c r="B12" s="1018" t="s">
        <v>316</v>
      </c>
      <c r="C12" s="1035">
        <v>36000</v>
      </c>
      <c r="D12" s="1035">
        <f>22000-5000</f>
        <v>17000</v>
      </c>
      <c r="E12" s="1035">
        <v>10</v>
      </c>
      <c r="F12" s="1036">
        <f>D12/E12</f>
        <v>1700</v>
      </c>
      <c r="G12" s="1036">
        <f t="shared" si="0"/>
        <v>510</v>
      </c>
      <c r="H12" s="1037"/>
      <c r="I12" s="1036"/>
      <c r="J12" s="1032">
        <v>840</v>
      </c>
      <c r="K12" s="1036">
        <f>EqOther*C12</f>
        <v>1080</v>
      </c>
      <c r="L12" s="1036">
        <f>SUM(F12:G12)+SUM(I12:K12)</f>
        <v>4130</v>
      </c>
      <c r="M12" s="1038">
        <v>400</v>
      </c>
      <c r="N12" s="1039">
        <f>L12/M12</f>
        <v>10.324999999999999</v>
      </c>
      <c r="O12" s="1047">
        <f>N12</f>
        <v>10.324999999999999</v>
      </c>
    </row>
    <row r="13" spans="1:15" ht="15" customHeight="1">
      <c r="A13" s="1046"/>
      <c r="B13" s="1019"/>
      <c r="C13" s="1035"/>
      <c r="D13" s="1035"/>
      <c r="E13" s="1035"/>
      <c r="F13" s="1038"/>
      <c r="G13" s="1036"/>
      <c r="H13" s="1040"/>
      <c r="I13" s="1038"/>
      <c r="J13" s="1021"/>
      <c r="K13" s="1036"/>
      <c r="L13" s="1038"/>
      <c r="M13" s="1038"/>
      <c r="N13" s="1034"/>
      <c r="O13" s="1047"/>
    </row>
    <row r="14" spans="1:15" ht="15" customHeight="1">
      <c r="A14" s="1046">
        <v>5</v>
      </c>
      <c r="B14" s="1018" t="s">
        <v>317</v>
      </c>
      <c r="C14" s="1035">
        <v>6000</v>
      </c>
      <c r="D14" s="1035">
        <v>2275</v>
      </c>
      <c r="E14" s="1035">
        <v>10</v>
      </c>
      <c r="F14" s="1036">
        <f>D14/E14</f>
        <v>227.5</v>
      </c>
      <c r="G14" s="1036">
        <f t="shared" si="0"/>
        <v>68.25</v>
      </c>
      <c r="H14" s="1040"/>
      <c r="I14" s="1038"/>
      <c r="J14" s="1032">
        <v>189</v>
      </c>
      <c r="K14" s="1036">
        <f>EqOther*C14</f>
        <v>180</v>
      </c>
      <c r="L14" s="1036">
        <f>SUM(F14:G14)+SUM(I14:K14)</f>
        <v>664.75</v>
      </c>
      <c r="M14" s="1038">
        <v>150</v>
      </c>
      <c r="N14" s="1039">
        <f>L14/M14</f>
        <v>4.4316666666666666</v>
      </c>
      <c r="O14" s="1047">
        <f>N14</f>
        <v>4.4316666666666666</v>
      </c>
    </row>
    <row r="15" spans="1:15" ht="15" customHeight="1">
      <c r="A15" s="1046"/>
      <c r="B15" s="1018"/>
      <c r="C15" s="1035"/>
      <c r="D15" s="1035"/>
      <c r="E15" s="1035"/>
      <c r="F15" s="1036"/>
      <c r="G15" s="1036"/>
      <c r="H15" s="1040"/>
      <c r="I15" s="1038"/>
      <c r="J15" s="1032"/>
      <c r="K15" s="1036"/>
      <c r="L15" s="1036"/>
      <c r="M15" s="1038"/>
      <c r="N15" s="1039"/>
      <c r="O15" s="1047"/>
    </row>
    <row r="16" spans="1:15" ht="15" customHeight="1">
      <c r="A16" s="1046">
        <v>6</v>
      </c>
      <c r="B16" s="1018" t="s">
        <v>318</v>
      </c>
      <c r="C16" s="1035">
        <v>2000</v>
      </c>
      <c r="D16" s="1035">
        <v>1500</v>
      </c>
      <c r="E16" s="1035">
        <v>7</v>
      </c>
      <c r="F16" s="1036">
        <f>D16/E16</f>
        <v>214.28571428571428</v>
      </c>
      <c r="G16" s="1036">
        <f t="shared" si="0"/>
        <v>45</v>
      </c>
      <c r="H16" s="1040"/>
      <c r="I16" s="1038"/>
      <c r="J16" s="1032">
        <v>151</v>
      </c>
      <c r="K16" s="1036">
        <f>EqOther*C16</f>
        <v>60</v>
      </c>
      <c r="L16" s="1036">
        <f>SUM(F16:G16)+SUM(I16:K16)</f>
        <v>470.28571428571428</v>
      </c>
      <c r="M16" s="1038">
        <v>150</v>
      </c>
      <c r="N16" s="1039">
        <f>L16/M16</f>
        <v>3.1352380952380954</v>
      </c>
      <c r="O16" s="1047">
        <f>N16</f>
        <v>3.1352380952380954</v>
      </c>
    </row>
    <row r="17" spans="1:15" ht="15" customHeight="1">
      <c r="A17" s="1046"/>
      <c r="B17" s="1019" t="s">
        <v>319</v>
      </c>
      <c r="C17" s="1035"/>
      <c r="D17" s="1035"/>
      <c r="E17" s="1035"/>
      <c r="F17" s="1036"/>
      <c r="G17" s="1036"/>
      <c r="H17" s="1040"/>
      <c r="I17" s="1038"/>
      <c r="J17" s="1032"/>
      <c r="K17" s="1036"/>
      <c r="L17" s="1036"/>
      <c r="M17" s="1038"/>
      <c r="N17" s="1039"/>
      <c r="O17" s="1047"/>
    </row>
    <row r="18" spans="1:15" ht="15" customHeight="1">
      <c r="A18" s="1046">
        <v>7</v>
      </c>
      <c r="B18" s="1018" t="s">
        <v>320</v>
      </c>
      <c r="C18" s="1035">
        <v>9000</v>
      </c>
      <c r="D18" s="1035">
        <v>3800</v>
      </c>
      <c r="E18" s="1035">
        <v>7</v>
      </c>
      <c r="F18" s="1036">
        <f>D18/E18</f>
        <v>542.85714285714289</v>
      </c>
      <c r="G18" s="1036">
        <f t="shared" si="0"/>
        <v>114</v>
      </c>
      <c r="H18" s="1040"/>
      <c r="I18" s="1038"/>
      <c r="J18" s="1032">
        <v>471</v>
      </c>
      <c r="K18" s="1036">
        <f>EqOther*C18</f>
        <v>270</v>
      </c>
      <c r="L18" s="1036">
        <f>SUM(F18:G18)+SUM(I18:K18)</f>
        <v>1397.8571428571429</v>
      </c>
      <c r="M18" s="1038">
        <v>300</v>
      </c>
      <c r="N18" s="1039">
        <f>L18/M18</f>
        <v>4.6595238095238098</v>
      </c>
      <c r="O18" s="1047">
        <f>N18</f>
        <v>4.6595238095238098</v>
      </c>
    </row>
    <row r="19" spans="1:15" ht="15" customHeight="1">
      <c r="A19" s="1046"/>
      <c r="B19" s="1019"/>
      <c r="C19" s="1035"/>
      <c r="D19" s="1035"/>
      <c r="E19" s="1035"/>
      <c r="F19" s="1038"/>
      <c r="G19" s="1036"/>
      <c r="H19" s="1040"/>
      <c r="I19" s="1038"/>
      <c r="J19" s="1021"/>
      <c r="K19" s="1036"/>
      <c r="L19" s="1038"/>
      <c r="M19" s="1038"/>
      <c r="N19" s="1034"/>
      <c r="O19" s="1047"/>
    </row>
    <row r="20" spans="1:15" ht="15" customHeight="1">
      <c r="A20" s="1046">
        <v>8</v>
      </c>
      <c r="B20" s="1018" t="s">
        <v>419</v>
      </c>
      <c r="C20" s="1035">
        <v>1400</v>
      </c>
      <c r="D20" s="1035">
        <v>770</v>
      </c>
      <c r="E20" s="1035">
        <v>15</v>
      </c>
      <c r="F20" s="1036">
        <f>D20/E20</f>
        <v>51.333333333333336</v>
      </c>
      <c r="G20" s="1036">
        <f t="shared" si="0"/>
        <v>23.099999999999998</v>
      </c>
      <c r="H20" s="1040"/>
      <c r="I20" s="1038"/>
      <c r="J20" s="1032">
        <v>17</v>
      </c>
      <c r="K20" s="1036">
        <f>EqOther*C20</f>
        <v>42</v>
      </c>
      <c r="L20" s="1036">
        <f>SUM(F20:G20)+SUM(I20:K20)</f>
        <v>133.43333333333334</v>
      </c>
      <c r="M20" s="1038">
        <v>30</v>
      </c>
      <c r="N20" s="1039">
        <f>L20/M20</f>
        <v>4.4477777777777776</v>
      </c>
      <c r="O20" s="1047">
        <f>N20</f>
        <v>4.4477777777777776</v>
      </c>
    </row>
    <row r="21" spans="1:15" ht="15" customHeight="1">
      <c r="A21" s="1046"/>
      <c r="B21" s="1019"/>
      <c r="C21" s="1035"/>
      <c r="D21" s="1035"/>
      <c r="E21" s="1035"/>
      <c r="F21" s="1038"/>
      <c r="G21" s="1036"/>
      <c r="H21" s="1040"/>
      <c r="I21" s="1038"/>
      <c r="J21" s="1021"/>
      <c r="K21" s="1036"/>
      <c r="L21" s="1038"/>
      <c r="M21" s="1038"/>
      <c r="N21" s="1034"/>
      <c r="O21" s="1047"/>
    </row>
    <row r="22" spans="1:15" ht="15" customHeight="1">
      <c r="A22" s="1046">
        <v>9</v>
      </c>
      <c r="B22" s="1018" t="s">
        <v>80</v>
      </c>
      <c r="C22" s="1035">
        <v>5000</v>
      </c>
      <c r="D22" s="1035">
        <v>1650</v>
      </c>
      <c r="E22" s="1035">
        <v>15</v>
      </c>
      <c r="F22" s="1036">
        <f>D22/E22</f>
        <v>110</v>
      </c>
      <c r="G22" s="1036">
        <f t="shared" si="0"/>
        <v>49.5</v>
      </c>
      <c r="H22" s="1037"/>
      <c r="I22" s="1036"/>
      <c r="J22" s="1032">
        <v>98</v>
      </c>
      <c r="K22" s="1036">
        <f>EqOther*C22</f>
        <v>150</v>
      </c>
      <c r="L22" s="1036">
        <f>SUM(F22:G22)+SUM(I22:K22)</f>
        <v>407.5</v>
      </c>
      <c r="M22" s="1038">
        <v>75</v>
      </c>
      <c r="N22" s="1039">
        <f>L22/M22</f>
        <v>5.4333333333333336</v>
      </c>
      <c r="O22" s="1047">
        <f>N22</f>
        <v>5.4333333333333336</v>
      </c>
    </row>
    <row r="23" spans="1:15" ht="15" customHeight="1">
      <c r="A23" s="1046"/>
      <c r="B23" s="1018" t="s">
        <v>321</v>
      </c>
      <c r="C23" s="1035"/>
      <c r="D23" s="1035"/>
      <c r="E23" s="1035"/>
      <c r="F23" s="1036"/>
      <c r="G23" s="1036"/>
      <c r="H23" s="1037"/>
      <c r="I23" s="1036"/>
      <c r="J23" s="1032"/>
      <c r="K23" s="1036"/>
      <c r="L23" s="1036"/>
      <c r="M23" s="1038"/>
      <c r="N23" s="1039"/>
      <c r="O23" s="1047"/>
    </row>
    <row r="24" spans="1:15" ht="15" customHeight="1">
      <c r="A24" s="1046">
        <v>10</v>
      </c>
      <c r="B24" s="1018" t="s">
        <v>322</v>
      </c>
      <c r="C24" s="1035">
        <v>1600</v>
      </c>
      <c r="D24" s="1035">
        <v>880</v>
      </c>
      <c r="E24" s="1035">
        <v>15</v>
      </c>
      <c r="F24" s="1036">
        <f>D24/E24</f>
        <v>58.666666666666664</v>
      </c>
      <c r="G24" s="1036">
        <f t="shared" si="0"/>
        <v>26.4</v>
      </c>
      <c r="H24" s="1037"/>
      <c r="I24" s="1036"/>
      <c r="J24" s="1032">
        <v>45</v>
      </c>
      <c r="K24" s="1036">
        <f>EqOther*C24</f>
        <v>48</v>
      </c>
      <c r="L24" s="1036">
        <f>SUM(F24:G24)+SUM(I24:K24)</f>
        <v>178.06666666666666</v>
      </c>
      <c r="M24" s="1038">
        <v>75</v>
      </c>
      <c r="N24" s="1039">
        <f>L24/M24</f>
        <v>2.374222222222222</v>
      </c>
      <c r="O24" s="1047">
        <f>N24</f>
        <v>2.374222222222222</v>
      </c>
    </row>
    <row r="25" spans="1:15" ht="15" customHeight="1">
      <c r="A25" s="1046"/>
      <c r="B25" s="1019"/>
      <c r="C25" s="1035"/>
      <c r="D25" s="1035"/>
      <c r="E25" s="1035"/>
      <c r="F25" s="1038"/>
      <c r="G25" s="1036"/>
      <c r="H25" s="1040"/>
      <c r="I25" s="1038"/>
      <c r="J25" s="1021"/>
      <c r="K25" s="1036"/>
      <c r="L25" s="1038"/>
      <c r="M25" s="1038"/>
      <c r="N25" s="1034"/>
      <c r="O25" s="1047"/>
    </row>
    <row r="26" spans="1:15" ht="15" customHeight="1">
      <c r="A26" s="1046">
        <v>11</v>
      </c>
      <c r="B26" s="1018" t="s">
        <v>323</v>
      </c>
      <c r="C26" s="1035">
        <v>5000</v>
      </c>
      <c r="D26" s="1035">
        <v>1170</v>
      </c>
      <c r="E26" s="1035">
        <v>10</v>
      </c>
      <c r="F26" s="1036">
        <f>D26/E26</f>
        <v>117</v>
      </c>
      <c r="G26" s="1036">
        <f>D26/2*IntRate</f>
        <v>35.1</v>
      </c>
      <c r="H26" s="1037"/>
      <c r="I26" s="1036"/>
      <c r="J26" s="1032">
        <v>15</v>
      </c>
      <c r="K26" s="1036">
        <f>EqOther*C26</f>
        <v>150</v>
      </c>
      <c r="L26" s="1036">
        <f>SUM(F26:G26)+SUM(I26:K26)</f>
        <v>317.10000000000002</v>
      </c>
      <c r="M26" s="1038">
        <v>40</v>
      </c>
      <c r="N26" s="1039">
        <f>L26/M26</f>
        <v>7.9275000000000002</v>
      </c>
      <c r="O26" s="1047">
        <f>N26</f>
        <v>7.9275000000000002</v>
      </c>
    </row>
    <row r="27" spans="1:15" ht="15" customHeight="1">
      <c r="A27" s="1046"/>
      <c r="B27" s="1019"/>
      <c r="C27" s="1035"/>
      <c r="D27" s="1035"/>
      <c r="E27" s="1035"/>
      <c r="F27" s="1038"/>
      <c r="G27" s="1036"/>
      <c r="H27" s="1040"/>
      <c r="I27" s="1038"/>
      <c r="J27" s="1021"/>
      <c r="K27" s="1036"/>
      <c r="L27" s="1038"/>
      <c r="M27" s="1038"/>
      <c r="N27" s="1034"/>
      <c r="O27" s="1047"/>
    </row>
    <row r="28" spans="1:15" ht="15" customHeight="1">
      <c r="A28" s="1046">
        <v>12</v>
      </c>
      <c r="B28" s="1018" t="s">
        <v>324</v>
      </c>
      <c r="C28" s="1035">
        <v>1200</v>
      </c>
      <c r="D28" s="1035">
        <v>660</v>
      </c>
      <c r="E28" s="1035">
        <v>15</v>
      </c>
      <c r="F28" s="1036">
        <f>D28/E28</f>
        <v>44</v>
      </c>
      <c r="G28" s="1036">
        <f>D28/2*IntRate</f>
        <v>19.8</v>
      </c>
      <c r="H28" s="1037"/>
      <c r="I28" s="1036"/>
      <c r="J28" s="1032">
        <v>6</v>
      </c>
      <c r="K28" s="1036">
        <f>EqOther*C28</f>
        <v>36</v>
      </c>
      <c r="L28" s="1036">
        <f>SUM(F28:G28)+SUM(I28:K28)</f>
        <v>105.8</v>
      </c>
      <c r="M28" s="1038">
        <v>15</v>
      </c>
      <c r="N28" s="1039">
        <f>L28/M28</f>
        <v>7.0533333333333328</v>
      </c>
      <c r="O28" s="1047">
        <f>N28</f>
        <v>7.0533333333333328</v>
      </c>
    </row>
    <row r="29" spans="1:15" ht="15" customHeight="1">
      <c r="A29" s="1046"/>
      <c r="B29" s="1019"/>
      <c r="C29" s="1035"/>
      <c r="D29" s="1035"/>
      <c r="E29" s="1035"/>
      <c r="F29" s="1038"/>
      <c r="G29" s="1036"/>
      <c r="H29" s="1040"/>
      <c r="I29" s="1038"/>
      <c r="J29" s="1021"/>
      <c r="K29" s="1036"/>
      <c r="L29" s="1038"/>
      <c r="M29" s="1038"/>
      <c r="N29" s="1034"/>
      <c r="O29" s="1047"/>
    </row>
    <row r="30" spans="1:15" ht="15" customHeight="1">
      <c r="A30" s="1046">
        <v>13</v>
      </c>
      <c r="B30" s="1018" t="s">
        <v>325</v>
      </c>
      <c r="C30" s="1035">
        <v>1500</v>
      </c>
      <c r="D30" s="1035">
        <v>1260</v>
      </c>
      <c r="E30" s="1035">
        <v>5</v>
      </c>
      <c r="F30" s="1036">
        <f>D30/E30</f>
        <v>252</v>
      </c>
      <c r="G30" s="1036">
        <f>D30/2*IntRate</f>
        <v>37.799999999999997</v>
      </c>
      <c r="H30" s="1037">
        <v>1.6</v>
      </c>
      <c r="I30" s="1036">
        <f>Gas*H30*M30</f>
        <v>800</v>
      </c>
      <c r="J30" s="1032">
        <v>200</v>
      </c>
      <c r="K30" s="1036">
        <f>EqOther*C30</f>
        <v>45</v>
      </c>
      <c r="L30" s="1036">
        <f>SUM(F30:G30)+SUM(I30:K30)</f>
        <v>1334.8</v>
      </c>
      <c r="M30" s="1038">
        <v>200</v>
      </c>
      <c r="N30" s="1039">
        <f>L30/M30</f>
        <v>6.6739999999999995</v>
      </c>
      <c r="O30" s="1047">
        <f>N30</f>
        <v>6.6739999999999995</v>
      </c>
    </row>
    <row r="31" spans="1:15" ht="15" customHeight="1">
      <c r="A31" s="1046"/>
      <c r="B31" s="1019" t="s">
        <v>326</v>
      </c>
      <c r="C31" s="1035"/>
      <c r="D31" s="1035"/>
      <c r="E31" s="1035"/>
      <c r="F31" s="1038"/>
      <c r="G31" s="1036"/>
      <c r="H31" s="1040"/>
      <c r="I31" s="1038"/>
      <c r="J31" s="1021"/>
      <c r="K31" s="1036"/>
      <c r="L31" s="1038"/>
      <c r="M31" s="1038"/>
      <c r="N31" s="1034"/>
      <c r="O31" s="1047"/>
    </row>
    <row r="32" spans="1:15" ht="15" customHeight="1">
      <c r="A32" s="1046">
        <v>14</v>
      </c>
      <c r="B32" s="1018" t="s">
        <v>327</v>
      </c>
      <c r="C32" s="1035">
        <v>2500</v>
      </c>
      <c r="D32" s="1035">
        <v>2100</v>
      </c>
      <c r="E32" s="1035">
        <v>5</v>
      </c>
      <c r="F32" s="1036">
        <f>D32/E32</f>
        <v>420</v>
      </c>
      <c r="G32" s="1036">
        <f>D32/2*IntRate</f>
        <v>63</v>
      </c>
      <c r="H32" s="1037">
        <v>1.6</v>
      </c>
      <c r="I32" s="1036">
        <f>Gas*H32*M32</f>
        <v>600</v>
      </c>
      <c r="J32" s="1032">
        <v>150</v>
      </c>
      <c r="K32" s="1036">
        <f>EqOther*C32</f>
        <v>75</v>
      </c>
      <c r="L32" s="1036">
        <f>SUM(F32:G32)+SUM(I32:K32)</f>
        <v>1308</v>
      </c>
      <c r="M32" s="1038">
        <v>150</v>
      </c>
      <c r="N32" s="1039"/>
      <c r="O32" s="1047"/>
    </row>
    <row r="33" spans="1:15" ht="15" customHeight="1">
      <c r="A33" s="1048"/>
      <c r="B33" s="1018"/>
      <c r="C33" s="1038"/>
      <c r="D33" s="1038"/>
      <c r="E33" s="1038"/>
      <c r="F33" s="1038"/>
      <c r="G33" s="1036"/>
      <c r="H33" s="1040"/>
      <c r="I33" s="1038"/>
      <c r="J33" s="1021"/>
      <c r="K33" s="1036"/>
      <c r="L33" s="1038"/>
      <c r="M33" s="1038"/>
      <c r="N33" s="1034"/>
      <c r="O33" s="1047"/>
    </row>
    <row r="34" spans="1:15" ht="15" customHeight="1">
      <c r="A34" s="1263">
        <v>15</v>
      </c>
      <c r="B34" s="1264" t="s">
        <v>328</v>
      </c>
      <c r="C34" s="1265">
        <v>15000</v>
      </c>
      <c r="D34" s="1265">
        <v>4250</v>
      </c>
      <c r="E34" s="1265">
        <v>5</v>
      </c>
      <c r="F34" s="1054">
        <f>D34/E34</f>
        <v>850</v>
      </c>
      <c r="G34" s="1054">
        <f>D34/2*IntRate</f>
        <v>127.5</v>
      </c>
      <c r="H34" s="1266">
        <v>1.6</v>
      </c>
      <c r="I34" s="1054">
        <f>Gas*H34*M34</f>
        <v>1600</v>
      </c>
      <c r="J34" s="1267">
        <v>350</v>
      </c>
      <c r="K34" s="1054">
        <f>EqOther*C34</f>
        <v>450</v>
      </c>
      <c r="L34" s="1054">
        <f>SUM(F34:G34)+SUM(I34:K34)</f>
        <v>3377.5</v>
      </c>
      <c r="M34" s="1268">
        <v>400</v>
      </c>
      <c r="N34" s="1269">
        <f>L34/M34</f>
        <v>8.4437499999999996</v>
      </c>
      <c r="O34" s="1270">
        <f>N34</f>
        <v>8.4437499999999996</v>
      </c>
    </row>
    <row r="35" spans="1:15" ht="15" customHeight="1">
      <c r="A35" s="1254"/>
      <c r="B35" s="1255"/>
      <c r="C35" s="1256"/>
      <c r="D35" s="1256"/>
      <c r="E35" s="1256"/>
      <c r="F35" s="1257"/>
      <c r="G35" s="1258"/>
      <c r="H35" s="1259"/>
      <c r="I35" s="1257"/>
      <c r="J35" s="1260"/>
      <c r="K35" s="1258"/>
      <c r="L35" s="1257"/>
      <c r="M35" s="1257"/>
      <c r="N35" s="1261"/>
      <c r="O35" s="1262"/>
    </row>
    <row r="36" spans="1:15" ht="15" customHeight="1">
      <c r="A36" s="1046"/>
      <c r="B36" s="1020"/>
      <c r="C36" s="1035"/>
      <c r="D36" s="1035"/>
      <c r="E36" s="1035"/>
      <c r="F36" s="1038"/>
      <c r="G36" s="1036"/>
      <c r="H36" s="1040"/>
      <c r="I36" s="1038"/>
      <c r="J36" s="1021"/>
      <c r="K36" s="1036"/>
      <c r="L36" s="1038"/>
      <c r="M36" s="1038"/>
      <c r="N36" s="1034"/>
      <c r="O36" s="1047"/>
    </row>
    <row r="37" spans="1:15" ht="15" customHeight="1">
      <c r="A37" s="1046">
        <v>17</v>
      </c>
      <c r="B37" s="1020" t="s">
        <v>329</v>
      </c>
      <c r="C37" s="1035">
        <v>0</v>
      </c>
      <c r="D37" s="1035">
        <f>+C37</f>
        <v>0</v>
      </c>
      <c r="E37" s="1035">
        <v>0</v>
      </c>
      <c r="F37" s="1036">
        <v>0</v>
      </c>
      <c r="G37" s="1036">
        <v>0</v>
      </c>
      <c r="H37" s="1037"/>
      <c r="I37" s="1036">
        <v>2</v>
      </c>
      <c r="J37" s="1036">
        <f>0.06*D37</f>
        <v>0</v>
      </c>
      <c r="K37" s="1036">
        <f>EqOther*C37</f>
        <v>0</v>
      </c>
      <c r="L37" s="1036">
        <v>88</v>
      </c>
      <c r="M37" s="1038">
        <v>40</v>
      </c>
      <c r="N37" s="1039">
        <f>L37/M37</f>
        <v>2.2000000000000002</v>
      </c>
      <c r="O37" s="1047">
        <f>N37</f>
        <v>2.2000000000000002</v>
      </c>
    </row>
    <row r="38" spans="1:15" ht="15" customHeight="1">
      <c r="A38" s="1046"/>
      <c r="B38" s="1019"/>
      <c r="C38" s="1035"/>
      <c r="D38" s="1035"/>
      <c r="E38" s="1035"/>
      <c r="F38" s="1036"/>
      <c r="G38" s="1036"/>
      <c r="H38" s="1040"/>
      <c r="I38" s="1038"/>
      <c r="J38" s="1021"/>
      <c r="K38" s="1036"/>
      <c r="L38" s="1038"/>
      <c r="M38" s="1038"/>
      <c r="N38" s="1034"/>
      <c r="O38" s="1045"/>
    </row>
    <row r="39" spans="1:15" ht="15" customHeight="1">
      <c r="A39" s="1046">
        <v>18</v>
      </c>
      <c r="B39" s="1019" t="s">
        <v>330</v>
      </c>
      <c r="C39" s="1035">
        <f>15600+1600</f>
        <v>17200</v>
      </c>
      <c r="D39" s="1035">
        <v>6000</v>
      </c>
      <c r="E39" s="1035">
        <v>10</v>
      </c>
      <c r="F39" s="1036">
        <f>D39/E39</f>
        <v>600</v>
      </c>
      <c r="G39" s="1036">
        <f>D39/2*IntRate</f>
        <v>180</v>
      </c>
      <c r="H39" s="1037">
        <v>0.8</v>
      </c>
      <c r="I39" s="1036">
        <f>Gas*H39*M39</f>
        <v>2000</v>
      </c>
      <c r="J39" s="1032">
        <v>450</v>
      </c>
      <c r="K39" s="1036">
        <f>EqOther*C39</f>
        <v>516</v>
      </c>
      <c r="L39" s="1036">
        <f>SUM(F39:G39)+SUM(I39:K39)</f>
        <v>3746</v>
      </c>
      <c r="M39" s="1038">
        <v>1000</v>
      </c>
      <c r="N39" s="1039">
        <f>L39/M39</f>
        <v>3.746</v>
      </c>
      <c r="O39" s="1047">
        <f>N39</f>
        <v>3.746</v>
      </c>
    </row>
    <row r="40" spans="1:15" ht="15" customHeight="1">
      <c r="A40" s="1046"/>
      <c r="B40" s="1019" t="s">
        <v>331</v>
      </c>
      <c r="C40" s="1035"/>
      <c r="D40" s="1035"/>
      <c r="E40" s="1035"/>
      <c r="F40" s="1038"/>
      <c r="G40" s="1036"/>
      <c r="H40" s="1037"/>
      <c r="I40" s="1036"/>
      <c r="J40" s="1032"/>
      <c r="K40" s="1036"/>
      <c r="L40" s="1036"/>
      <c r="M40" s="1038"/>
      <c r="N40" s="1039"/>
      <c r="O40" s="1047"/>
    </row>
    <row r="41" spans="1:15" ht="15" customHeight="1">
      <c r="A41" s="1048">
        <v>19</v>
      </c>
      <c r="B41" s="1021" t="s">
        <v>332</v>
      </c>
      <c r="C41" s="1038">
        <v>5500</v>
      </c>
      <c r="D41" s="1038">
        <v>4000</v>
      </c>
      <c r="E41" s="1038">
        <v>20</v>
      </c>
      <c r="F41" s="1036">
        <f>D41/E41</f>
        <v>200</v>
      </c>
      <c r="G41" s="1036">
        <f>D41/2*IntRate</f>
        <v>120</v>
      </c>
      <c r="H41" s="1040"/>
      <c r="I41" s="1038"/>
      <c r="J41" s="1021"/>
      <c r="K41" s="1036">
        <f>EqOther*C41</f>
        <v>165</v>
      </c>
      <c r="L41" s="1036">
        <f>SUM(F41:G41)+SUM(I41:K41)</f>
        <v>485</v>
      </c>
      <c r="M41" s="1038">
        <v>120</v>
      </c>
      <c r="N41" s="1039">
        <f>L41/M41</f>
        <v>4.041666666666667</v>
      </c>
      <c r="O41" s="1047">
        <f>N41</f>
        <v>4.041666666666667</v>
      </c>
    </row>
    <row r="42" spans="1:15" ht="15" customHeight="1">
      <c r="A42" s="1048"/>
      <c r="B42" s="1021"/>
      <c r="C42" s="1038"/>
      <c r="D42" s="1038"/>
      <c r="E42" s="1038"/>
      <c r="F42" s="1036"/>
      <c r="G42" s="1036"/>
      <c r="H42" s="1040"/>
      <c r="I42" s="1038"/>
      <c r="J42" s="1021"/>
      <c r="K42" s="1036"/>
      <c r="L42" s="1038"/>
      <c r="M42" s="1038"/>
      <c r="N42" s="1034"/>
      <c r="O42" s="1045"/>
    </row>
    <row r="43" spans="1:15" ht="15" customHeight="1">
      <c r="A43" s="1048">
        <v>20</v>
      </c>
      <c r="B43" s="1021" t="s">
        <v>420</v>
      </c>
      <c r="C43" s="1038">
        <v>17000</v>
      </c>
      <c r="D43" s="1038">
        <v>2400</v>
      </c>
      <c r="E43" s="1038">
        <v>10</v>
      </c>
      <c r="F43" s="1036">
        <f>D43/E43</f>
        <v>240</v>
      </c>
      <c r="G43" s="1036">
        <f>D43/2*IntRate</f>
        <v>72</v>
      </c>
      <c r="H43" s="1040">
        <f>+H8</f>
        <v>3.5</v>
      </c>
      <c r="I43" s="1036">
        <f>Gas*H43*M43</f>
        <v>1050</v>
      </c>
      <c r="J43" s="1021">
        <v>500</v>
      </c>
      <c r="K43" s="1036">
        <f>EqOther*C43</f>
        <v>510</v>
      </c>
      <c r="L43" s="1036">
        <f>SUM(F43:G43)+SUM(I43:K43)</f>
        <v>2372</v>
      </c>
      <c r="M43" s="1038">
        <v>120</v>
      </c>
      <c r="N43" s="1039">
        <f>L43/M43</f>
        <v>19.766666666666666</v>
      </c>
      <c r="O43" s="1047">
        <f>N43</f>
        <v>19.766666666666666</v>
      </c>
    </row>
    <row r="44" spans="1:15" ht="15" customHeight="1">
      <c r="A44" s="1048"/>
      <c r="B44" s="1021"/>
      <c r="C44" s="1038"/>
      <c r="D44" s="1038"/>
      <c r="E44" s="1038"/>
      <c r="F44" s="1036"/>
      <c r="G44" s="1036"/>
      <c r="H44" s="1040"/>
      <c r="I44" s="1038"/>
      <c r="J44" s="1021"/>
      <c r="K44" s="1036"/>
      <c r="L44" s="1036"/>
      <c r="M44" s="1038"/>
      <c r="N44" s="1039"/>
      <c r="O44" s="1047"/>
    </row>
    <row r="45" spans="1:15" ht="15" customHeight="1">
      <c r="A45" s="1048">
        <v>21</v>
      </c>
      <c r="B45" s="1021" t="s">
        <v>414</v>
      </c>
      <c r="C45" s="1038">
        <v>6000</v>
      </c>
      <c r="D45" s="1038">
        <v>3500</v>
      </c>
      <c r="E45" s="1038">
        <v>5</v>
      </c>
      <c r="F45" s="1036">
        <f>D45/E45</f>
        <v>700</v>
      </c>
      <c r="G45" s="1036">
        <f>D45/2*IntRate</f>
        <v>105</v>
      </c>
      <c r="H45" s="1040">
        <v>1</v>
      </c>
      <c r="I45" s="1036">
        <f>Gas*H45*M45</f>
        <v>300</v>
      </c>
      <c r="J45" s="1021">
        <v>200</v>
      </c>
      <c r="K45" s="1036">
        <f>EqOther*C45</f>
        <v>180</v>
      </c>
      <c r="L45" s="1036">
        <f>SUM(F45:G45)+SUM(I45:K45)</f>
        <v>1485</v>
      </c>
      <c r="M45" s="1038">
        <v>120</v>
      </c>
      <c r="N45" s="1039">
        <f>L45/M45</f>
        <v>12.375</v>
      </c>
      <c r="O45" s="1047">
        <f>N45</f>
        <v>12.375</v>
      </c>
    </row>
    <row r="46" spans="1:15" ht="15" customHeight="1">
      <c r="A46" s="1048"/>
      <c r="B46" s="1021"/>
      <c r="C46" s="1038"/>
      <c r="D46" s="1038"/>
      <c r="E46" s="1038"/>
      <c r="F46" s="1036"/>
      <c r="G46" s="1036"/>
      <c r="H46" s="1040"/>
      <c r="I46" s="1038"/>
      <c r="J46" s="1021"/>
      <c r="K46" s="1036"/>
      <c r="L46" s="1036"/>
      <c r="M46" s="1038"/>
      <c r="N46" s="1039"/>
      <c r="O46" s="1047"/>
    </row>
    <row r="47" spans="1:15" ht="15" customHeight="1">
      <c r="A47" s="1048">
        <v>22</v>
      </c>
      <c r="B47" s="1021" t="s">
        <v>415</v>
      </c>
      <c r="C47" s="1038">
        <v>5000</v>
      </c>
      <c r="D47" s="1038">
        <v>3000</v>
      </c>
      <c r="E47" s="1038">
        <v>10</v>
      </c>
      <c r="F47" s="1036">
        <f>D47/E47</f>
        <v>300</v>
      </c>
      <c r="G47" s="1036">
        <f>D47/2*IntRate</f>
        <v>90</v>
      </c>
      <c r="H47" s="1040"/>
      <c r="I47" s="1038"/>
      <c r="J47" s="1021">
        <v>10</v>
      </c>
      <c r="K47" s="1036">
        <f>EqOther*C47</f>
        <v>150</v>
      </c>
      <c r="L47" s="1036">
        <f>SUM(F47:G47)+SUM(I47:K47)</f>
        <v>550</v>
      </c>
      <c r="M47" s="1038">
        <v>120</v>
      </c>
      <c r="N47" s="1039">
        <f>L47/M47</f>
        <v>4.583333333333333</v>
      </c>
      <c r="O47" s="1047">
        <f>N47</f>
        <v>4.583333333333333</v>
      </c>
    </row>
    <row r="48" spans="1:15" ht="15" customHeight="1">
      <c r="A48" s="1048"/>
      <c r="B48" s="1021"/>
      <c r="C48" s="1038"/>
      <c r="D48" s="1038"/>
      <c r="E48" s="1038"/>
      <c r="F48" s="1036"/>
      <c r="G48" s="1036"/>
      <c r="H48" s="1040"/>
      <c r="I48" s="1038"/>
      <c r="J48" s="1021"/>
      <c r="K48" s="1036"/>
      <c r="L48" s="1036"/>
      <c r="M48" s="1038"/>
      <c r="N48" s="1039"/>
      <c r="O48" s="1047"/>
    </row>
    <row r="49" spans="1:15" ht="15" customHeight="1">
      <c r="A49" s="1048">
        <v>23</v>
      </c>
      <c r="B49" s="1021" t="s">
        <v>416</v>
      </c>
      <c r="C49" s="1038">
        <v>180</v>
      </c>
      <c r="D49" s="1038">
        <v>180</v>
      </c>
      <c r="E49" s="1038">
        <v>10</v>
      </c>
      <c r="F49" s="1036">
        <f>D49/E49</f>
        <v>18</v>
      </c>
      <c r="G49" s="1036">
        <f>D49/2*IntRate</f>
        <v>5.3999999999999995</v>
      </c>
      <c r="H49" s="1040"/>
      <c r="I49" s="1038"/>
      <c r="J49" s="1021"/>
      <c r="K49" s="1036">
        <f>EqOther*C49</f>
        <v>5.3999999999999995</v>
      </c>
      <c r="L49" s="1036">
        <f>SUM(F49:G49)+SUM(I49:K49)</f>
        <v>28.799999999999997</v>
      </c>
      <c r="M49" s="1038"/>
      <c r="N49" s="1039"/>
      <c r="O49" s="1047"/>
    </row>
    <row r="50" spans="1:15" ht="15" customHeight="1">
      <c r="A50" s="1048">
        <v>24</v>
      </c>
      <c r="B50" s="1021" t="s">
        <v>417</v>
      </c>
      <c r="C50" s="1038">
        <v>150</v>
      </c>
      <c r="D50" s="1038">
        <v>150</v>
      </c>
      <c r="E50" s="1038">
        <v>10</v>
      </c>
      <c r="F50" s="1036">
        <f>D50/E50</f>
        <v>15</v>
      </c>
      <c r="G50" s="1036">
        <f>D50/2*IntRate</f>
        <v>4.5</v>
      </c>
      <c r="H50" s="1040"/>
      <c r="I50" s="1038"/>
      <c r="J50" s="1021"/>
      <c r="K50" s="1036">
        <f>EqOther*C50</f>
        <v>4.5</v>
      </c>
      <c r="L50" s="1036">
        <f>SUM(F50:G50)+SUM(I50:K50)</f>
        <v>24</v>
      </c>
      <c r="M50" s="1038"/>
      <c r="N50" s="1039"/>
      <c r="O50" s="1047"/>
    </row>
    <row r="51" spans="1:15" ht="15" customHeight="1">
      <c r="A51" s="1048">
        <v>25</v>
      </c>
      <c r="B51" s="1021" t="s">
        <v>418</v>
      </c>
      <c r="C51" s="1038">
        <v>85</v>
      </c>
      <c r="D51" s="1038">
        <v>85</v>
      </c>
      <c r="E51" s="1038">
        <v>10</v>
      </c>
      <c r="F51" s="1036">
        <f>D51/E51</f>
        <v>8.5</v>
      </c>
      <c r="G51" s="1036">
        <f>D51/2*IntRate</f>
        <v>2.5499999999999998</v>
      </c>
      <c r="H51" s="1040"/>
      <c r="I51" s="1038"/>
      <c r="J51" s="1021"/>
      <c r="K51" s="1036">
        <f>EqOther*C51</f>
        <v>2.5499999999999998</v>
      </c>
      <c r="L51" s="1036">
        <f>SUM(F51:G51)+SUM(I51:K51)</f>
        <v>13.600000000000001</v>
      </c>
      <c r="M51" s="1038"/>
      <c r="N51" s="1039"/>
      <c r="O51" s="1047"/>
    </row>
    <row r="52" spans="1:15" ht="15" customHeight="1">
      <c r="A52" s="1048"/>
      <c r="B52" s="1021"/>
      <c r="C52" s="1038"/>
      <c r="D52" s="1038"/>
      <c r="E52" s="1038"/>
      <c r="F52" s="1036"/>
      <c r="G52" s="1036"/>
      <c r="H52" s="1040"/>
      <c r="I52" s="1038"/>
      <c r="J52" s="1021"/>
      <c r="K52" s="1036"/>
      <c r="L52" s="1036"/>
      <c r="M52" s="1038"/>
      <c r="N52" s="1039"/>
      <c r="O52" s="1047"/>
    </row>
    <row r="53" spans="1:15" ht="15" customHeight="1">
      <c r="A53" s="1048">
        <v>26</v>
      </c>
      <c r="B53" s="1021" t="s">
        <v>421</v>
      </c>
      <c r="C53" s="1038">
        <v>7500</v>
      </c>
      <c r="D53" s="1038">
        <v>6000</v>
      </c>
      <c r="E53" s="1038">
        <v>10</v>
      </c>
      <c r="F53" s="1036">
        <f>D53/E53</f>
        <v>600</v>
      </c>
      <c r="G53" s="1036">
        <f>D53/2*IntRate</f>
        <v>180</v>
      </c>
      <c r="H53" s="1040"/>
      <c r="I53" s="1038"/>
      <c r="J53" s="1021">
        <v>400</v>
      </c>
      <c r="K53" s="1036">
        <f>EqOther*C53</f>
        <v>225</v>
      </c>
      <c r="L53" s="1036">
        <f>SUM(F53:G53)+SUM(I53:K53)</f>
        <v>1405</v>
      </c>
      <c r="M53" s="1038">
        <v>120</v>
      </c>
      <c r="N53" s="1039">
        <f>L53/M53</f>
        <v>11.708333333333334</v>
      </c>
      <c r="O53" s="1047">
        <f>N53</f>
        <v>11.708333333333334</v>
      </c>
    </row>
    <row r="54" spans="1:15" ht="15" customHeight="1">
      <c r="A54" s="1048"/>
      <c r="B54" s="1021"/>
      <c r="C54" s="1038"/>
      <c r="D54" s="1038"/>
      <c r="E54" s="1038"/>
      <c r="F54" s="1036"/>
      <c r="G54" s="1036"/>
      <c r="H54" s="1040"/>
      <c r="I54" s="1038"/>
      <c r="J54" s="1021"/>
      <c r="K54" s="1036"/>
      <c r="L54" s="1036"/>
      <c r="M54" s="1038"/>
      <c r="N54" s="1039"/>
      <c r="O54" s="1047"/>
    </row>
    <row r="55" spans="1:15" ht="15" customHeight="1">
      <c r="A55" s="1048">
        <v>27</v>
      </c>
      <c r="B55" s="1021" t="s">
        <v>422</v>
      </c>
      <c r="C55" s="1038">
        <v>4000</v>
      </c>
      <c r="D55" s="1038">
        <v>3000</v>
      </c>
      <c r="E55" s="1038">
        <v>10</v>
      </c>
      <c r="F55" s="1036">
        <f>D55/E55</f>
        <v>300</v>
      </c>
      <c r="G55" s="1036">
        <f>D55/2*IntRate</f>
        <v>90</v>
      </c>
      <c r="H55" s="1040"/>
      <c r="I55" s="1038"/>
      <c r="J55" s="1021">
        <v>200</v>
      </c>
      <c r="K55" s="1036">
        <f>EqOther*C55</f>
        <v>120</v>
      </c>
      <c r="L55" s="1036">
        <f>SUM(F55:G55)+SUM(I55:K55)</f>
        <v>710</v>
      </c>
      <c r="M55" s="1038">
        <v>120</v>
      </c>
      <c r="N55" s="1039">
        <f>L55/M55</f>
        <v>5.916666666666667</v>
      </c>
      <c r="O55" s="1047">
        <f>N55</f>
        <v>5.916666666666667</v>
      </c>
    </row>
    <row r="56" spans="1:15" ht="15" customHeight="1">
      <c r="A56" s="1048"/>
      <c r="B56" s="1021"/>
      <c r="C56" s="1021"/>
      <c r="D56" s="1021"/>
      <c r="E56" s="1021"/>
      <c r="F56" s="1021"/>
      <c r="G56" s="1036"/>
      <c r="H56" s="1040"/>
      <c r="I56" s="1038"/>
      <c r="J56" s="1021"/>
      <c r="K56" s="1036"/>
      <c r="L56" s="1038"/>
      <c r="M56" s="1038"/>
      <c r="N56" s="1038"/>
      <c r="O56" s="1049"/>
    </row>
    <row r="57" spans="1:15" ht="15" customHeight="1">
      <c r="A57" s="1048" t="s">
        <v>333</v>
      </c>
      <c r="B57" s="1021" t="s">
        <v>334</v>
      </c>
      <c r="C57" s="1041">
        <v>7</v>
      </c>
      <c r="D57" s="1021"/>
      <c r="E57" s="1021"/>
      <c r="F57" s="1021"/>
      <c r="G57" s="1036"/>
      <c r="H57" s="1040"/>
      <c r="I57" s="1038"/>
      <c r="J57" s="1021"/>
      <c r="K57" s="1036"/>
      <c r="L57" s="1038"/>
      <c r="M57" s="1038"/>
      <c r="N57" s="1038"/>
      <c r="O57" s="1049"/>
    </row>
    <row r="58" spans="1:15" ht="15" customHeight="1">
      <c r="A58" s="1048"/>
      <c r="B58" s="1022" t="s">
        <v>335</v>
      </c>
      <c r="C58" s="1021"/>
      <c r="D58" s="1021"/>
      <c r="E58" s="1021"/>
      <c r="F58" s="1021"/>
      <c r="G58" s="1042"/>
      <c r="H58" s="1040"/>
      <c r="I58" s="1021"/>
      <c r="J58" s="1021"/>
      <c r="K58" s="1036"/>
      <c r="L58" s="1034"/>
      <c r="M58" s="1021"/>
      <c r="N58" s="1034"/>
      <c r="O58" s="1045"/>
    </row>
    <row r="59" spans="1:15" ht="15" customHeight="1">
      <c r="A59" s="1048">
        <v>28</v>
      </c>
      <c r="B59" s="1021" t="s">
        <v>336</v>
      </c>
      <c r="C59" s="1021">
        <v>30000</v>
      </c>
      <c r="D59" s="1021">
        <v>25000</v>
      </c>
      <c r="E59" s="1021">
        <v>30</v>
      </c>
      <c r="F59" s="1036">
        <f>D59/E59</f>
        <v>833.33333333333337</v>
      </c>
      <c r="G59" s="1036">
        <f>D59/2*IntRate</f>
        <v>750</v>
      </c>
      <c r="H59" s="1040"/>
      <c r="I59" s="1038"/>
      <c r="J59" s="1021"/>
      <c r="K59" s="1036">
        <f>EqOther*C59</f>
        <v>900</v>
      </c>
      <c r="L59" s="1036">
        <f>SUM(F59:G59)+SUM(I59:K59)</f>
        <v>2483.3333333333335</v>
      </c>
      <c r="M59" s="1038">
        <v>1</v>
      </c>
      <c r="N59" s="1039">
        <f>L59/M59</f>
        <v>2483.3333333333335</v>
      </c>
      <c r="O59" s="1047">
        <f>N59</f>
        <v>2483.3333333333335</v>
      </c>
    </row>
    <row r="60" spans="1:15" ht="15" customHeight="1">
      <c r="A60" s="1048">
        <v>29</v>
      </c>
      <c r="B60" s="1021" t="s">
        <v>337</v>
      </c>
      <c r="C60" s="1021">
        <v>10000</v>
      </c>
      <c r="D60" s="1021">
        <v>8000</v>
      </c>
      <c r="E60" s="1021">
        <v>20</v>
      </c>
      <c r="F60" s="1036">
        <f>D60/E60</f>
        <v>400</v>
      </c>
      <c r="G60" s="1036">
        <f>D60/2*IntRate</f>
        <v>240</v>
      </c>
      <c r="H60" s="1040"/>
      <c r="I60" s="1038"/>
      <c r="J60" s="1021"/>
      <c r="K60" s="1036">
        <f>EqOther*C60</f>
        <v>300</v>
      </c>
      <c r="L60" s="1036">
        <f>SUM(F60:G60)+SUM(I60:K60)</f>
        <v>940</v>
      </c>
      <c r="M60" s="1038">
        <v>1</v>
      </c>
      <c r="N60" s="1039">
        <f>L60/M60</f>
        <v>940</v>
      </c>
      <c r="O60" s="1047">
        <f>N60</f>
        <v>940</v>
      </c>
    </row>
    <row r="61" spans="1:15" ht="15" customHeight="1">
      <c r="A61" s="1048"/>
      <c r="B61" s="1021"/>
      <c r="C61" s="1021"/>
      <c r="D61" s="1021"/>
      <c r="E61" s="1021"/>
      <c r="F61" s="1036"/>
      <c r="G61" s="1036"/>
      <c r="H61" s="1040"/>
      <c r="I61" s="1038"/>
      <c r="J61" s="1021"/>
      <c r="K61" s="1036"/>
      <c r="L61" s="1036"/>
      <c r="M61" s="1038"/>
      <c r="N61" s="1039"/>
      <c r="O61" s="1047"/>
    </row>
    <row r="62" spans="1:15" ht="15" customHeight="1">
      <c r="A62" s="1050"/>
      <c r="B62" s="120"/>
      <c r="C62" s="120"/>
      <c r="D62" s="120"/>
      <c r="E62" s="120"/>
      <c r="F62" s="120"/>
      <c r="G62" s="120"/>
      <c r="H62" s="120"/>
      <c r="I62" s="120"/>
      <c r="J62" s="120"/>
      <c r="K62" s="1036"/>
      <c r="L62" s="120"/>
      <c r="M62" s="120"/>
      <c r="N62" s="120"/>
      <c r="O62" s="1051"/>
    </row>
    <row r="63" spans="1:15" ht="15" customHeight="1">
      <c r="A63" s="1052"/>
      <c r="B63" s="1053"/>
      <c r="C63" s="1053"/>
      <c r="D63" s="1053"/>
      <c r="E63" s="1053"/>
      <c r="F63" s="1053"/>
      <c r="G63" s="1053"/>
      <c r="H63" s="1053"/>
      <c r="I63" s="1053"/>
      <c r="J63" s="1053"/>
      <c r="K63" s="1054"/>
      <c r="L63" s="1053"/>
      <c r="M63" s="1053"/>
      <c r="N63" s="1053"/>
      <c r="O63" s="1055"/>
    </row>
    <row r="64" spans="1:15" ht="15" customHeight="1">
      <c r="K64" s="1043"/>
    </row>
    <row r="65" spans="11:11" ht="15" customHeight="1">
      <c r="K65" s="1043"/>
    </row>
    <row r="66" spans="11:11" ht="15" customHeight="1">
      <c r="K66" s="1043"/>
    </row>
    <row r="67" spans="11:11" ht="15" customHeight="1">
      <c r="K67" s="1043"/>
    </row>
    <row r="68" spans="11:11" ht="15" customHeight="1">
      <c r="K68" s="1043"/>
    </row>
    <row r="69" spans="11:11" ht="15" customHeight="1">
      <c r="K69" s="1043"/>
    </row>
    <row r="70" spans="11:11" ht="15" customHeight="1">
      <c r="K70" s="1043"/>
    </row>
  </sheetData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  <rowBreaks count="1" manualBreakCount="1">
    <brk id="3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3:P9"/>
  <sheetViews>
    <sheetView workbookViewId="0">
      <selection activeCell="A3" sqref="A3:M9"/>
    </sheetView>
  </sheetViews>
  <sheetFormatPr defaultRowHeight="12.75"/>
  <cols>
    <col min="3" max="3" width="9.28515625" bestFit="1" customWidth="1"/>
    <col min="4" max="4" width="11.28515625" bestFit="1" customWidth="1"/>
    <col min="5" max="5" width="10.28515625" bestFit="1" customWidth="1"/>
    <col min="6" max="8" width="9.28515625" bestFit="1" customWidth="1"/>
    <col min="9" max="9" width="10.28515625" bestFit="1" customWidth="1"/>
    <col min="10" max="11" width="9.28515625" bestFit="1" customWidth="1"/>
    <col min="12" max="12" width="10.28515625" bestFit="1" customWidth="1"/>
    <col min="13" max="13" width="11.28515625" bestFit="1" customWidth="1"/>
    <col min="15" max="15" width="14" customWidth="1"/>
    <col min="16" max="16" width="11.28515625" customWidth="1"/>
  </cols>
  <sheetData>
    <row r="3" spans="1:16" s="6" customFormat="1" ht="20.25">
      <c r="A3" s="1306" t="s">
        <v>45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8"/>
    </row>
    <row r="4" spans="1:16">
      <c r="A4" s="38"/>
      <c r="B4" s="1355" t="s">
        <v>19</v>
      </c>
      <c r="C4" s="1356"/>
      <c r="D4" s="1356"/>
      <c r="E4" s="1356"/>
      <c r="F4" s="1355" t="s">
        <v>20</v>
      </c>
      <c r="G4" s="1356"/>
      <c r="H4" s="1356"/>
      <c r="I4" s="1357"/>
      <c r="J4" s="1356" t="s">
        <v>338</v>
      </c>
      <c r="K4" s="1356"/>
      <c r="L4" s="1356"/>
      <c r="M4" s="1357"/>
      <c r="N4" s="16"/>
      <c r="O4" s="16"/>
      <c r="P4" s="16"/>
    </row>
    <row r="5" spans="1:16">
      <c r="A5" s="303" t="s">
        <v>46</v>
      </c>
      <c r="B5" s="304" t="s">
        <v>47</v>
      </c>
      <c r="C5" s="305" t="s">
        <v>48</v>
      </c>
      <c r="D5" s="305" t="s">
        <v>47</v>
      </c>
      <c r="E5" s="732" t="s">
        <v>49</v>
      </c>
      <c r="F5" s="306" t="s">
        <v>47</v>
      </c>
      <c r="G5" s="305" t="s">
        <v>48</v>
      </c>
      <c r="H5" s="305" t="s">
        <v>47</v>
      </c>
      <c r="I5" s="305" t="s">
        <v>49</v>
      </c>
      <c r="J5" s="737" t="s">
        <v>47</v>
      </c>
      <c r="K5" s="304" t="s">
        <v>48</v>
      </c>
      <c r="L5" s="304" t="s">
        <v>47</v>
      </c>
      <c r="M5" s="304" t="s">
        <v>49</v>
      </c>
      <c r="N5" s="16"/>
      <c r="O5" s="8"/>
      <c r="P5" s="8"/>
    </row>
    <row r="6" spans="1:16">
      <c r="A6" s="303" t="s">
        <v>30</v>
      </c>
      <c r="B6" s="304" t="s">
        <v>50</v>
      </c>
      <c r="C6" s="305" t="s">
        <v>51</v>
      </c>
      <c r="D6" s="305" t="s">
        <v>51</v>
      </c>
      <c r="E6" s="305" t="s">
        <v>51</v>
      </c>
      <c r="F6" s="306" t="s">
        <v>50</v>
      </c>
      <c r="G6" s="305" t="s">
        <v>51</v>
      </c>
      <c r="H6" s="305" t="s">
        <v>51</v>
      </c>
      <c r="I6" s="305" t="s">
        <v>51</v>
      </c>
      <c r="J6" s="306" t="s">
        <v>50</v>
      </c>
      <c r="K6" s="304" t="s">
        <v>51</v>
      </c>
      <c r="L6" s="304" t="s">
        <v>51</v>
      </c>
      <c r="M6" s="305" t="s">
        <v>51</v>
      </c>
      <c r="N6" s="16"/>
      <c r="O6" s="463" t="s">
        <v>19</v>
      </c>
      <c r="P6" s="95">
        <v>3060</v>
      </c>
    </row>
    <row r="7" spans="1:16">
      <c r="A7" s="395">
        <v>0</v>
      </c>
      <c r="B7" s="990">
        <v>1</v>
      </c>
      <c r="C7" s="1367">
        <v>224</v>
      </c>
      <c r="D7" s="1367">
        <v>15</v>
      </c>
      <c r="E7" s="1367">
        <v>794</v>
      </c>
      <c r="F7" s="1367">
        <v>1</v>
      </c>
      <c r="G7" s="1367">
        <v>224</v>
      </c>
      <c r="H7" s="1367">
        <v>15</v>
      </c>
      <c r="I7" s="1367">
        <v>794</v>
      </c>
      <c r="J7" s="1367">
        <v>1</v>
      </c>
      <c r="K7" s="1367">
        <v>224</v>
      </c>
      <c r="L7" s="1367">
        <v>15</v>
      </c>
      <c r="M7" s="1367">
        <v>794</v>
      </c>
      <c r="O7" s="463" t="s">
        <v>713</v>
      </c>
      <c r="P7" s="95">
        <v>9225</v>
      </c>
    </row>
    <row r="8" spans="1:16">
      <c r="A8" s="395">
        <v>1</v>
      </c>
      <c r="B8" s="990">
        <v>21.197647058823531</v>
      </c>
      <c r="C8" s="1367">
        <v>150.98184281045755</v>
      </c>
      <c r="D8" s="1367">
        <v>221.25882352941173</v>
      </c>
      <c r="E8" s="1367">
        <v>2265.7378677080887</v>
      </c>
      <c r="F8" s="1367">
        <v>87.517647058823528</v>
      </c>
      <c r="G8" s="1367">
        <v>186.94157614379085</v>
      </c>
      <c r="H8" s="1367">
        <v>820.05882352941182</v>
      </c>
      <c r="I8" s="1367">
        <v>8430.6709004172517</v>
      </c>
      <c r="J8" s="1367">
        <v>207.6776470588236</v>
      </c>
      <c r="K8" s="1367">
        <v>189.59544281045751</v>
      </c>
      <c r="L8" s="1367">
        <v>1902.458823529412</v>
      </c>
      <c r="M8" s="1367">
        <v>15071.316037954455</v>
      </c>
      <c r="O8" s="463" t="s">
        <v>338</v>
      </c>
      <c r="P8" s="95">
        <v>15865</v>
      </c>
    </row>
    <row r="9" spans="1:16">
      <c r="A9" s="1364" t="s">
        <v>49</v>
      </c>
      <c r="B9" s="1366">
        <f>B8+B7</f>
        <v>22.197647058823531</v>
      </c>
      <c r="C9" s="1368">
        <f>C7+C8</f>
        <v>374.98184281045758</v>
      </c>
      <c r="D9" s="1368">
        <f t="shared" ref="D9:M9" si="0">D7+D8</f>
        <v>236.25882352941173</v>
      </c>
      <c r="E9" s="1368">
        <f t="shared" si="0"/>
        <v>3059.7378677080887</v>
      </c>
      <c r="F9" s="1368">
        <f t="shared" si="0"/>
        <v>88.517647058823528</v>
      </c>
      <c r="G9" s="1368">
        <f t="shared" si="0"/>
        <v>410.94157614379083</v>
      </c>
      <c r="H9" s="1368">
        <f t="shared" si="0"/>
        <v>835.05882352941182</v>
      </c>
      <c r="I9" s="1368">
        <f t="shared" si="0"/>
        <v>9224.6709004172517</v>
      </c>
      <c r="J9" s="1368">
        <f t="shared" si="0"/>
        <v>208.6776470588236</v>
      </c>
      <c r="K9" s="1368">
        <f t="shared" si="0"/>
        <v>413.59544281045748</v>
      </c>
      <c r="L9" s="1368">
        <f t="shared" si="0"/>
        <v>1917.458823529412</v>
      </c>
      <c r="M9" s="1368">
        <f t="shared" si="0"/>
        <v>15865.316037954455</v>
      </c>
    </row>
  </sheetData>
  <mergeCells count="4">
    <mergeCell ref="A3:M3"/>
    <mergeCell ref="B4:E4"/>
    <mergeCell ref="F4:I4"/>
    <mergeCell ref="J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5" sqref="H15"/>
    </sheetView>
  </sheetViews>
  <sheetFormatPr defaultRowHeight="15" customHeight="1"/>
  <cols>
    <col min="1" max="7" width="13.7109375" customWidth="1"/>
    <col min="9" max="11" width="9" customWidth="1"/>
  </cols>
  <sheetData>
    <row r="1" spans="1:8" ht="24.75" customHeight="1">
      <c r="A1" s="1306" t="s">
        <v>103</v>
      </c>
      <c r="B1" s="1307"/>
      <c r="C1" s="1307"/>
      <c r="D1" s="1307"/>
      <c r="E1" s="1307"/>
      <c r="F1" s="1307"/>
      <c r="G1" s="1308"/>
    </row>
    <row r="2" spans="1:8" ht="15" customHeight="1">
      <c r="A2" s="449" t="s">
        <v>280</v>
      </c>
      <c r="B2" s="450"/>
      <c r="C2" s="450"/>
      <c r="D2" s="450"/>
      <c r="E2" s="450"/>
      <c r="F2" s="450"/>
      <c r="G2" s="451"/>
    </row>
    <row r="3" spans="1:8" ht="15" customHeight="1">
      <c r="A3" s="452"/>
      <c r="B3" s="453"/>
      <c r="C3" s="453"/>
      <c r="D3" s="453"/>
      <c r="E3" s="453"/>
      <c r="F3" s="453"/>
      <c r="G3" s="454"/>
    </row>
    <row r="4" spans="1:8" ht="15" customHeight="1">
      <c r="A4" s="423"/>
      <c r="B4" s="1309" t="s">
        <v>19</v>
      </c>
      <c r="C4" s="1309"/>
      <c r="D4" s="1309" t="s">
        <v>20</v>
      </c>
      <c r="E4" s="1309"/>
      <c r="F4" s="1309" t="s">
        <v>338</v>
      </c>
      <c r="G4" s="1309"/>
    </row>
    <row r="5" spans="1:8" ht="15" customHeight="1">
      <c r="A5" s="409" t="s">
        <v>30</v>
      </c>
      <c r="B5" s="396" t="s">
        <v>281</v>
      </c>
      <c r="C5" s="396" t="s">
        <v>224</v>
      </c>
      <c r="D5" s="396" t="str">
        <f t="shared" ref="D5:G6" si="0">+B5</f>
        <v># of time</v>
      </c>
      <c r="E5" s="396" t="str">
        <f t="shared" si="0"/>
        <v>Hours</v>
      </c>
      <c r="F5" s="396" t="str">
        <f t="shared" si="0"/>
        <v># of time</v>
      </c>
      <c r="G5" s="396" t="str">
        <f t="shared" si="0"/>
        <v>Hours</v>
      </c>
    </row>
    <row r="6" spans="1:8" ht="15" customHeight="1">
      <c r="A6" s="552"/>
      <c r="B6" s="553" t="s">
        <v>282</v>
      </c>
      <c r="C6" s="553" t="s">
        <v>38</v>
      </c>
      <c r="D6" s="553" t="str">
        <f t="shared" si="0"/>
        <v>mowed</v>
      </c>
      <c r="E6" s="553" t="str">
        <f t="shared" si="0"/>
        <v xml:space="preserve"> /Acre</v>
      </c>
      <c r="F6" s="553" t="str">
        <f t="shared" si="0"/>
        <v>mowed</v>
      </c>
      <c r="G6" s="553" t="str">
        <f t="shared" si="0"/>
        <v xml:space="preserve"> /Acre</v>
      </c>
    </row>
    <row r="7" spans="1:8" ht="15" customHeight="1">
      <c r="A7" s="381">
        <v>1</v>
      </c>
      <c r="B7" s="558">
        <v>0</v>
      </c>
      <c r="C7" s="559">
        <f>+B7*CLMowTime</f>
        <v>0</v>
      </c>
      <c r="D7" s="558">
        <v>0</v>
      </c>
      <c r="E7" s="559">
        <f t="shared" ref="E7:E12" si="1">+D7*VAMowTime</f>
        <v>0</v>
      </c>
      <c r="F7" s="558">
        <v>0</v>
      </c>
      <c r="G7" s="560">
        <f>+F7*SSMowTime</f>
        <v>0</v>
      </c>
    </row>
    <row r="8" spans="1:8" ht="15" customHeight="1">
      <c r="A8" s="499">
        <v>2</v>
      </c>
      <c r="B8" s="555">
        <v>2</v>
      </c>
      <c r="C8" s="556">
        <f t="shared" ref="C8:C14" si="2">+B8*CLMowTime</f>
        <v>0.5</v>
      </c>
      <c r="D8" s="555">
        <v>2</v>
      </c>
      <c r="E8" s="556">
        <f t="shared" si="1"/>
        <v>0.6428571428571429</v>
      </c>
      <c r="F8" s="555">
        <v>2</v>
      </c>
      <c r="G8" s="561">
        <f>+F8*SSMowTime</f>
        <v>0.75</v>
      </c>
    </row>
    <row r="9" spans="1:8" ht="15" customHeight="1">
      <c r="A9" s="499">
        <v>3</v>
      </c>
      <c r="B9" s="555">
        <v>3</v>
      </c>
      <c r="C9" s="556">
        <f t="shared" si="2"/>
        <v>0.75</v>
      </c>
      <c r="D9" s="555">
        <v>3</v>
      </c>
      <c r="E9" s="556">
        <f t="shared" si="1"/>
        <v>0.96428571428571441</v>
      </c>
      <c r="F9" s="555">
        <v>3</v>
      </c>
      <c r="G9" s="561">
        <f>+F9*SSMowTime</f>
        <v>1.125</v>
      </c>
    </row>
    <row r="10" spans="1:8" ht="15" customHeight="1">
      <c r="A10" s="499">
        <v>4</v>
      </c>
      <c r="B10" s="555">
        <f>+B9</f>
        <v>3</v>
      </c>
      <c r="C10" s="556">
        <f t="shared" si="2"/>
        <v>0.75</v>
      </c>
      <c r="D10" s="555">
        <f>+D9</f>
        <v>3</v>
      </c>
      <c r="E10" s="556">
        <f t="shared" si="1"/>
        <v>0.96428571428571441</v>
      </c>
      <c r="F10" s="555">
        <f>+F9</f>
        <v>3</v>
      </c>
      <c r="G10" s="561">
        <f>+F10*SSMowTime</f>
        <v>1.125</v>
      </c>
    </row>
    <row r="11" spans="1:8" ht="15" customHeight="1">
      <c r="A11" s="499">
        <v>5</v>
      </c>
      <c r="B11" s="555">
        <f>+B10</f>
        <v>3</v>
      </c>
      <c r="C11" s="556">
        <f t="shared" si="2"/>
        <v>0.75</v>
      </c>
      <c r="D11" s="555">
        <f>+D10</f>
        <v>3</v>
      </c>
      <c r="E11" s="556">
        <f t="shared" si="1"/>
        <v>0.96428571428571441</v>
      </c>
      <c r="F11" s="555"/>
      <c r="G11" s="562"/>
    </row>
    <row r="12" spans="1:8" ht="15" customHeight="1">
      <c r="A12" s="499">
        <v>6</v>
      </c>
      <c r="B12" s="555">
        <f>+B11</f>
        <v>3</v>
      </c>
      <c r="C12" s="556">
        <f t="shared" si="2"/>
        <v>0.75</v>
      </c>
      <c r="D12" s="555">
        <f>+D11</f>
        <v>3</v>
      </c>
      <c r="E12" s="556">
        <f t="shared" si="1"/>
        <v>0.96428571428571441</v>
      </c>
      <c r="F12" s="555"/>
      <c r="G12" s="562"/>
    </row>
    <row r="13" spans="1:8" ht="15" customHeight="1">
      <c r="A13" s="499">
        <v>7</v>
      </c>
      <c r="B13" s="555">
        <f>+B12</f>
        <v>3</v>
      </c>
      <c r="C13" s="556">
        <f t="shared" si="2"/>
        <v>0.75</v>
      </c>
      <c r="D13" s="131"/>
      <c r="E13" s="557"/>
      <c r="F13" s="555"/>
      <c r="G13" s="562"/>
    </row>
    <row r="14" spans="1:8" ht="15" customHeight="1">
      <c r="A14" s="499">
        <v>8</v>
      </c>
      <c r="B14" s="555">
        <f>+B13</f>
        <v>3</v>
      </c>
      <c r="C14" s="556">
        <f t="shared" si="2"/>
        <v>0.75</v>
      </c>
      <c r="D14" s="555"/>
      <c r="E14" s="557"/>
      <c r="F14" s="555"/>
      <c r="G14" s="562"/>
    </row>
    <row r="15" spans="1:8" ht="15" customHeight="1">
      <c r="A15" s="489"/>
      <c r="B15" s="103"/>
      <c r="C15" s="103"/>
      <c r="D15" s="103"/>
      <c r="E15" s="103"/>
      <c r="F15" s="103"/>
      <c r="G15" s="536"/>
      <c r="H15" s="1"/>
    </row>
    <row r="16" spans="1:8" ht="15" customHeight="1">
      <c r="A16" s="393"/>
      <c r="B16" s="110"/>
      <c r="C16" s="110"/>
      <c r="D16" s="110"/>
      <c r="E16" s="110"/>
      <c r="F16" s="110"/>
      <c r="G16" s="111"/>
      <c r="H16" s="1"/>
    </row>
    <row r="17" spans="1:8" ht="15" customHeight="1">
      <c r="A17" s="554" t="s">
        <v>229</v>
      </c>
      <c r="B17" s="45"/>
      <c r="C17" s="45" t="s">
        <v>230</v>
      </c>
      <c r="D17" s="45" t="s">
        <v>231</v>
      </c>
      <c r="E17" s="45" t="s">
        <v>224</v>
      </c>
      <c r="F17" s="45" t="s">
        <v>232</v>
      </c>
      <c r="G17" s="45" t="s">
        <v>167</v>
      </c>
      <c r="H17" s="1"/>
    </row>
    <row r="18" spans="1:8" ht="15" customHeight="1">
      <c r="A18" s="563"/>
      <c r="B18" s="44"/>
      <c r="C18" s="44" t="s">
        <v>233</v>
      </c>
      <c r="D18" s="44" t="s">
        <v>234</v>
      </c>
      <c r="E18" s="44" t="s">
        <v>283</v>
      </c>
      <c r="F18" s="44" t="s">
        <v>284</v>
      </c>
      <c r="G18" s="44" t="s">
        <v>38</v>
      </c>
      <c r="H18" s="1"/>
    </row>
    <row r="19" spans="1:8" ht="15" customHeight="1">
      <c r="A19" s="496" t="s">
        <v>19</v>
      </c>
      <c r="B19" s="484"/>
      <c r="C19" s="484">
        <f>+CLRowSpace</f>
        <v>18</v>
      </c>
      <c r="D19" s="565">
        <f>+C19/C19*100</f>
        <v>100</v>
      </c>
      <c r="E19" s="543">
        <v>10</v>
      </c>
      <c r="F19" s="543">
        <v>40</v>
      </c>
      <c r="G19" s="566">
        <f>+E19/F19</f>
        <v>0.25</v>
      </c>
      <c r="H19" s="1"/>
    </row>
    <row r="20" spans="1:8" ht="15" customHeight="1">
      <c r="A20" s="489" t="s">
        <v>20</v>
      </c>
      <c r="B20" s="103"/>
      <c r="C20" s="103">
        <f>+VARowSpace</f>
        <v>14</v>
      </c>
      <c r="D20" s="532">
        <f>+C19/C20*100</f>
        <v>128.57142857142858</v>
      </c>
      <c r="E20" s="103"/>
      <c r="F20" s="103"/>
      <c r="G20" s="567">
        <f>+G19*D20*0.01</f>
        <v>0.32142857142857145</v>
      </c>
      <c r="H20" s="1"/>
    </row>
    <row r="21" spans="1:8" ht="15" customHeight="1">
      <c r="A21" s="393" t="s">
        <v>338</v>
      </c>
      <c r="B21" s="110"/>
      <c r="C21" s="110">
        <f>+SSRowSpace</f>
        <v>12</v>
      </c>
      <c r="D21" s="538">
        <f>+C19/C21*100</f>
        <v>150</v>
      </c>
      <c r="E21" s="110"/>
      <c r="F21" s="110"/>
      <c r="G21" s="568">
        <f>+G19*D21*0.01</f>
        <v>0.375</v>
      </c>
      <c r="H21" s="1"/>
    </row>
  </sheetData>
  <mergeCells count="4">
    <mergeCell ref="B4:C4"/>
    <mergeCell ref="D4:E4"/>
    <mergeCell ref="F4:G4"/>
    <mergeCell ref="A1:G1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opLeftCell="A7" workbookViewId="0">
      <selection activeCell="H15" sqref="H15"/>
    </sheetView>
  </sheetViews>
  <sheetFormatPr defaultRowHeight="15" customHeight="1"/>
  <cols>
    <col min="1" max="1" width="17.7109375" style="117" customWidth="1"/>
    <col min="2" max="10" width="8.85546875" style="117" customWidth="1"/>
    <col min="11" max="11" width="9.140625" style="117"/>
    <col min="12" max="14" width="9" style="117" customWidth="1"/>
    <col min="15" max="16384" width="9.140625" style="117"/>
  </cols>
  <sheetData>
    <row r="1" spans="1:10" ht="24.75" customHeight="1">
      <c r="A1" s="1313" t="s">
        <v>269</v>
      </c>
      <c r="B1" s="1314"/>
      <c r="C1" s="1314"/>
      <c r="D1" s="1314"/>
      <c r="E1" s="1314"/>
      <c r="F1" s="1314"/>
      <c r="G1" s="1314"/>
      <c r="H1" s="1314"/>
      <c r="I1" s="1314"/>
      <c r="J1" s="1315"/>
    </row>
    <row r="2" spans="1:10" s="136" customFormat="1" ht="15" customHeight="1">
      <c r="A2" s="569"/>
      <c r="B2" s="1316" t="s">
        <v>19</v>
      </c>
      <c r="C2" s="1316"/>
      <c r="D2" s="150"/>
      <c r="E2" s="1316" t="s">
        <v>20</v>
      </c>
      <c r="F2" s="1316"/>
      <c r="G2" s="150"/>
      <c r="H2" s="1316" t="s">
        <v>338</v>
      </c>
      <c r="I2" s="1316"/>
      <c r="J2" s="150"/>
    </row>
    <row r="3" spans="1:10" s="136" customFormat="1" ht="15" customHeight="1">
      <c r="A3" s="448" t="s">
        <v>252</v>
      </c>
      <c r="B3" s="570">
        <v>0</v>
      </c>
      <c r="C3" s="571"/>
      <c r="D3" s="571"/>
      <c r="E3" s="570">
        <f>+VAIrr</f>
        <v>1108.3712</v>
      </c>
      <c r="F3" s="571"/>
      <c r="G3" s="571"/>
      <c r="H3" s="570">
        <f>+SSIrr</f>
        <v>1180.9712</v>
      </c>
      <c r="I3" s="570"/>
      <c r="J3" s="572"/>
    </row>
    <row r="4" spans="1:10" s="119" customFormat="1" ht="15" customHeight="1">
      <c r="A4" s="444" t="s">
        <v>386</v>
      </c>
      <c r="B4" s="445">
        <f>+CLIrr/CLTree</f>
        <v>0</v>
      </c>
      <c r="C4" s="446"/>
      <c r="D4" s="446"/>
      <c r="E4" s="445">
        <f>+E3/VATree</f>
        <v>1.7811291092745638</v>
      </c>
      <c r="F4" s="446"/>
      <c r="G4" s="446"/>
      <c r="H4" s="445">
        <f>+H3/SSTree</f>
        <v>0.97600925619834711</v>
      </c>
      <c r="I4" s="445"/>
      <c r="J4" s="447"/>
    </row>
    <row r="5" spans="1:10" s="136" customFormat="1" ht="15" customHeight="1">
      <c r="A5" s="1310" t="s">
        <v>258</v>
      </c>
      <c r="B5" s="1311"/>
      <c r="C5" s="1311"/>
      <c r="D5" s="1311"/>
      <c r="E5" s="1311"/>
      <c r="F5" s="1311"/>
      <c r="G5" s="1311"/>
      <c r="H5" s="1311"/>
      <c r="I5" s="1311"/>
      <c r="J5" s="1312"/>
    </row>
    <row r="6" spans="1:10" s="136" customFormat="1" ht="15" customHeight="1">
      <c r="A6" s="573"/>
      <c r="B6" s="574"/>
      <c r="C6" s="574"/>
      <c r="D6" s="574"/>
      <c r="E6" s="574"/>
      <c r="F6" s="574"/>
      <c r="G6" s="574"/>
      <c r="H6" s="574"/>
      <c r="I6" s="574"/>
      <c r="J6" s="575"/>
    </row>
    <row r="7" spans="1:10" s="137" customFormat="1" ht="15" customHeight="1">
      <c r="A7" s="150" t="s">
        <v>270</v>
      </c>
      <c r="B7" s="150" t="s">
        <v>270</v>
      </c>
      <c r="C7" s="150"/>
      <c r="D7" s="150"/>
      <c r="E7" s="150"/>
      <c r="F7" s="150" t="s">
        <v>260</v>
      </c>
      <c r="G7" s="150"/>
      <c r="H7" s="150" t="s">
        <v>37</v>
      </c>
      <c r="I7" s="150"/>
      <c r="J7" s="150" t="s">
        <v>271</v>
      </c>
    </row>
    <row r="8" spans="1:10" ht="15" customHeight="1">
      <c r="A8" s="576" t="s">
        <v>272</v>
      </c>
      <c r="B8" s="577">
        <f>+VARow</f>
        <v>6.2228571428571433</v>
      </c>
      <c r="C8" s="571" t="s">
        <v>377</v>
      </c>
      <c r="D8" s="578">
        <f>+'Factors &amp; Yield'!E20</f>
        <v>500</v>
      </c>
      <c r="E8" s="579" t="s">
        <v>378</v>
      </c>
      <c r="F8" s="580">
        <f>+B8*D8</f>
        <v>3111.4285714285716</v>
      </c>
      <c r="G8" s="581" t="s">
        <v>387</v>
      </c>
      <c r="H8" s="582">
        <v>0.14000000000000001</v>
      </c>
      <c r="I8" s="582" t="s">
        <v>376</v>
      </c>
      <c r="J8" s="583">
        <f>+F8*H8</f>
        <v>435.60000000000008</v>
      </c>
    </row>
    <row r="9" spans="1:10" ht="15" customHeight="1">
      <c r="A9" s="584"/>
      <c r="B9" s="585"/>
      <c r="C9" s="130"/>
      <c r="D9" s="130"/>
      <c r="E9" s="586"/>
      <c r="F9" s="587"/>
      <c r="G9" s="586"/>
      <c r="H9" s="588"/>
      <c r="I9" s="588"/>
      <c r="J9" s="589"/>
    </row>
    <row r="10" spans="1:10" ht="15" customHeight="1">
      <c r="A10" s="584" t="s">
        <v>273</v>
      </c>
      <c r="B10" s="130">
        <v>100</v>
      </c>
      <c r="C10" s="130" t="s">
        <v>388</v>
      </c>
      <c r="D10" s="130"/>
      <c r="E10" s="586"/>
      <c r="F10" s="587">
        <f>+B10</f>
        <v>100</v>
      </c>
      <c r="G10" s="586" t="s">
        <v>387</v>
      </c>
      <c r="H10" s="588">
        <v>0.65</v>
      </c>
      <c r="I10" s="588"/>
      <c r="J10" s="589">
        <f>+B10*H10</f>
        <v>65</v>
      </c>
    </row>
    <row r="11" spans="1:10" ht="15" customHeight="1">
      <c r="A11" s="584"/>
      <c r="B11" s="130"/>
      <c r="C11" s="130"/>
      <c r="D11" s="130"/>
      <c r="E11" s="586"/>
      <c r="F11" s="587"/>
      <c r="G11" s="586"/>
      <c r="H11" s="588"/>
      <c r="I11" s="588"/>
      <c r="J11" s="589"/>
    </row>
    <row r="12" spans="1:10" ht="15" customHeight="1">
      <c r="A12" s="584" t="s">
        <v>274</v>
      </c>
      <c r="B12" s="585">
        <f>+VARow*VARowSpace</f>
        <v>87.12</v>
      </c>
      <c r="C12" s="130" t="s">
        <v>388</v>
      </c>
      <c r="D12" s="130"/>
      <c r="E12" s="586"/>
      <c r="F12" s="590">
        <f>+B12</f>
        <v>87.12</v>
      </c>
      <c r="G12" s="586" t="s">
        <v>387</v>
      </c>
      <c r="H12" s="588">
        <v>0.3</v>
      </c>
      <c r="I12" s="588"/>
      <c r="J12" s="589">
        <f>+B12*H12</f>
        <v>26.135999999999999</v>
      </c>
    </row>
    <row r="13" spans="1:10" ht="15" customHeight="1">
      <c r="A13" s="584"/>
      <c r="B13" s="130"/>
      <c r="C13" s="130"/>
      <c r="D13" s="130"/>
      <c r="E13" s="586"/>
      <c r="F13" s="587"/>
      <c r="G13" s="586"/>
      <c r="H13" s="588"/>
      <c r="I13" s="588"/>
      <c r="J13" s="589"/>
    </row>
    <row r="14" spans="1:10" ht="15" customHeight="1">
      <c r="A14" s="584" t="s">
        <v>275</v>
      </c>
      <c r="B14" s="585">
        <f>+B10+B12</f>
        <v>187.12</v>
      </c>
      <c r="C14" s="130" t="s">
        <v>388</v>
      </c>
      <c r="D14" s="130"/>
      <c r="E14" s="586"/>
      <c r="F14" s="590">
        <f>+B14</f>
        <v>187.12</v>
      </c>
      <c r="G14" s="586" t="s">
        <v>387</v>
      </c>
      <c r="H14" s="588">
        <v>0.75</v>
      </c>
      <c r="I14" s="588"/>
      <c r="J14" s="589">
        <f>+B14*H14</f>
        <v>140.34</v>
      </c>
    </row>
    <row r="15" spans="1:10" ht="15" customHeight="1">
      <c r="A15" s="584"/>
      <c r="B15" s="130"/>
      <c r="C15" s="130"/>
      <c r="D15" s="130"/>
      <c r="E15" s="130"/>
      <c r="F15" s="130"/>
      <c r="G15" s="586"/>
      <c r="H15" s="130"/>
      <c r="I15" s="130"/>
      <c r="J15" s="589"/>
    </row>
    <row r="16" spans="1:10" ht="15" customHeight="1">
      <c r="A16" s="584" t="s">
        <v>276</v>
      </c>
      <c r="B16" s="591">
        <v>0.2</v>
      </c>
      <c r="C16" s="130" t="s">
        <v>389</v>
      </c>
      <c r="D16" s="130"/>
      <c r="E16" s="130"/>
      <c r="F16" s="591"/>
      <c r="G16" s="592"/>
      <c r="H16" s="130"/>
      <c r="I16" s="130"/>
      <c r="J16" s="589">
        <f>+SUM(J10:J14)*B16</f>
        <v>46.295200000000001</v>
      </c>
    </row>
    <row r="17" spans="1:10" ht="15" customHeight="1">
      <c r="A17" s="584"/>
      <c r="B17" s="130"/>
      <c r="C17" s="130"/>
      <c r="D17" s="130"/>
      <c r="E17" s="130"/>
      <c r="F17" s="130"/>
      <c r="G17" s="130"/>
      <c r="H17" s="130"/>
      <c r="I17" s="130"/>
      <c r="J17" s="589"/>
    </row>
    <row r="18" spans="1:10" ht="15" customHeight="1">
      <c r="A18" s="584" t="s">
        <v>277</v>
      </c>
      <c r="B18" s="585">
        <v>15000</v>
      </c>
      <c r="C18" s="130" t="s">
        <v>391</v>
      </c>
      <c r="D18" s="130"/>
      <c r="E18" s="130">
        <v>40</v>
      </c>
      <c r="F18" s="130" t="s">
        <v>390</v>
      </c>
      <c r="G18" s="130"/>
      <c r="H18" s="130"/>
      <c r="I18" s="130"/>
      <c r="J18" s="589">
        <f>+B18/E18</f>
        <v>375</v>
      </c>
    </row>
    <row r="19" spans="1:10" ht="15" customHeight="1">
      <c r="A19" s="584"/>
      <c r="B19" s="588"/>
      <c r="C19" s="130"/>
      <c r="D19" s="130"/>
      <c r="E19" s="130"/>
      <c r="F19" s="130"/>
      <c r="G19" s="130"/>
      <c r="H19" s="130"/>
      <c r="I19" s="130"/>
      <c r="J19" s="589"/>
    </row>
    <row r="20" spans="1:10" ht="15" customHeight="1">
      <c r="A20" s="444" t="s">
        <v>278</v>
      </c>
      <c r="B20" s="445">
        <v>200</v>
      </c>
      <c r="C20" s="446" t="s">
        <v>279</v>
      </c>
      <c r="D20" s="446"/>
      <c r="E20" s="446"/>
      <c r="F20" s="446"/>
      <c r="G20" s="446"/>
      <c r="H20" s="446"/>
      <c r="I20" s="446"/>
      <c r="J20" s="597">
        <f>+B20/10</f>
        <v>20</v>
      </c>
    </row>
    <row r="21" spans="1:10" ht="15" customHeight="1">
      <c r="A21" s="593"/>
      <c r="B21" s="594"/>
      <c r="C21" s="594"/>
      <c r="D21" s="594"/>
      <c r="E21" s="594"/>
      <c r="F21" s="594"/>
      <c r="G21" s="594"/>
      <c r="H21" s="594"/>
      <c r="I21" s="594"/>
      <c r="J21" s="595"/>
    </row>
    <row r="22" spans="1:10" ht="15" customHeight="1">
      <c r="A22" s="442" t="s">
        <v>271</v>
      </c>
      <c r="B22" s="596"/>
      <c r="C22" s="596"/>
      <c r="D22" s="596"/>
      <c r="E22" s="596"/>
      <c r="F22" s="596"/>
      <c r="G22" s="596"/>
      <c r="H22" s="596"/>
      <c r="I22" s="596"/>
      <c r="J22" s="443">
        <f>SUM(J8:J20)</f>
        <v>1108.3712</v>
      </c>
    </row>
    <row r="23" spans="1:10" ht="15" customHeight="1">
      <c r="A23" s="1310" t="s">
        <v>359</v>
      </c>
      <c r="B23" s="1311"/>
      <c r="C23" s="1311"/>
      <c r="D23" s="1311"/>
      <c r="E23" s="1311"/>
      <c r="F23" s="1311"/>
      <c r="G23" s="1311"/>
      <c r="H23" s="1311"/>
      <c r="I23" s="1311"/>
      <c r="J23" s="1312"/>
    </row>
    <row r="24" spans="1:10" ht="15" customHeight="1">
      <c r="A24" s="150" t="s">
        <v>270</v>
      </c>
      <c r="B24" s="150" t="s">
        <v>270</v>
      </c>
      <c r="C24" s="150"/>
      <c r="D24" s="150"/>
      <c r="E24" s="150"/>
      <c r="F24" s="150" t="s">
        <v>260</v>
      </c>
      <c r="G24" s="150"/>
      <c r="H24" s="150" t="s">
        <v>37</v>
      </c>
      <c r="I24" s="150"/>
      <c r="J24" s="150" t="s">
        <v>271</v>
      </c>
    </row>
    <row r="25" spans="1:10" ht="15" customHeight="1">
      <c r="A25" s="576" t="s">
        <v>272</v>
      </c>
      <c r="B25" s="577">
        <f>+SSRow</f>
        <v>7.2600000000000007</v>
      </c>
      <c r="C25" s="571" t="s">
        <v>377</v>
      </c>
      <c r="D25" s="578">
        <f>+'Factors &amp; Yield'!F20</f>
        <v>500</v>
      </c>
      <c r="E25" s="579" t="s">
        <v>378</v>
      </c>
      <c r="F25" s="580">
        <f>+B25*D25</f>
        <v>3630.0000000000005</v>
      </c>
      <c r="G25" s="581" t="s">
        <v>387</v>
      </c>
      <c r="H25" s="582">
        <v>0.14000000000000001</v>
      </c>
      <c r="I25" s="582" t="s">
        <v>376</v>
      </c>
      <c r="J25" s="583">
        <f>+F25*H25</f>
        <v>508.2000000000001</v>
      </c>
    </row>
    <row r="26" spans="1:10" ht="15" customHeight="1">
      <c r="A26" s="584"/>
      <c r="B26" s="585"/>
      <c r="C26" s="130"/>
      <c r="D26" s="130"/>
      <c r="E26" s="586"/>
      <c r="F26" s="587"/>
      <c r="G26" s="586"/>
      <c r="H26" s="588"/>
      <c r="I26" s="588"/>
      <c r="J26" s="589"/>
    </row>
    <row r="27" spans="1:10" ht="15" customHeight="1">
      <c r="A27" s="584" t="s">
        <v>273</v>
      </c>
      <c r="B27" s="130">
        <v>100</v>
      </c>
      <c r="C27" s="130" t="s">
        <v>388</v>
      </c>
      <c r="D27" s="130"/>
      <c r="E27" s="586"/>
      <c r="F27" s="587">
        <f>+B27</f>
        <v>100</v>
      </c>
      <c r="G27" s="586" t="s">
        <v>387</v>
      </c>
      <c r="H27" s="588">
        <v>0.65</v>
      </c>
      <c r="I27" s="588"/>
      <c r="J27" s="589">
        <f>+B27*H27</f>
        <v>65</v>
      </c>
    </row>
    <row r="28" spans="1:10" ht="15" customHeight="1">
      <c r="A28" s="584"/>
      <c r="B28" s="130"/>
      <c r="C28" s="130"/>
      <c r="D28" s="130"/>
      <c r="E28" s="586"/>
      <c r="F28" s="587"/>
      <c r="G28" s="586"/>
      <c r="H28" s="588"/>
      <c r="I28" s="588"/>
      <c r="J28" s="589"/>
    </row>
    <row r="29" spans="1:10" ht="15" customHeight="1">
      <c r="A29" s="584" t="s">
        <v>274</v>
      </c>
      <c r="B29" s="585">
        <f>+VARow*VARowSpace</f>
        <v>87.12</v>
      </c>
      <c r="C29" s="130" t="s">
        <v>388</v>
      </c>
      <c r="D29" s="130"/>
      <c r="E29" s="586"/>
      <c r="F29" s="590">
        <f>+B29</f>
        <v>87.12</v>
      </c>
      <c r="G29" s="586" t="s">
        <v>387</v>
      </c>
      <c r="H29" s="588">
        <v>0.3</v>
      </c>
      <c r="I29" s="588"/>
      <c r="J29" s="589">
        <f>+B29*H29</f>
        <v>26.135999999999999</v>
      </c>
    </row>
    <row r="30" spans="1:10" ht="15" customHeight="1">
      <c r="A30" s="584"/>
      <c r="B30" s="130"/>
      <c r="C30" s="130"/>
      <c r="D30" s="130"/>
      <c r="E30" s="586"/>
      <c r="F30" s="587"/>
      <c r="G30" s="586"/>
      <c r="H30" s="588"/>
      <c r="I30" s="588"/>
      <c r="J30" s="589"/>
    </row>
    <row r="31" spans="1:10" ht="15" customHeight="1">
      <c r="A31" s="584" t="s">
        <v>275</v>
      </c>
      <c r="B31" s="585">
        <f>+B27+B29</f>
        <v>187.12</v>
      </c>
      <c r="C31" s="130" t="s">
        <v>388</v>
      </c>
      <c r="D31" s="130"/>
      <c r="E31" s="586"/>
      <c r="F31" s="590">
        <f>+B31</f>
        <v>187.12</v>
      </c>
      <c r="G31" s="586" t="s">
        <v>387</v>
      </c>
      <c r="H31" s="588">
        <v>0.75</v>
      </c>
      <c r="I31" s="588"/>
      <c r="J31" s="589">
        <f>+B31*H31</f>
        <v>140.34</v>
      </c>
    </row>
    <row r="32" spans="1:10" ht="15" customHeight="1">
      <c r="A32" s="584"/>
      <c r="B32" s="130"/>
      <c r="C32" s="130"/>
      <c r="D32" s="130"/>
      <c r="E32" s="130"/>
      <c r="F32" s="130"/>
      <c r="G32" s="586"/>
      <c r="H32" s="130"/>
      <c r="I32" s="130"/>
      <c r="J32" s="589"/>
    </row>
    <row r="33" spans="1:10" ht="15" customHeight="1">
      <c r="A33" s="584" t="s">
        <v>276</v>
      </c>
      <c r="B33" s="591">
        <v>0.2</v>
      </c>
      <c r="C33" s="130" t="s">
        <v>389</v>
      </c>
      <c r="D33" s="130"/>
      <c r="E33" s="130"/>
      <c r="F33" s="591"/>
      <c r="G33" s="592"/>
      <c r="H33" s="130"/>
      <c r="I33" s="130"/>
      <c r="J33" s="589">
        <f>+SUM(J27:J31)*B33</f>
        <v>46.295200000000001</v>
      </c>
    </row>
    <row r="34" spans="1:10" ht="15" customHeight="1">
      <c r="A34" s="584"/>
      <c r="B34" s="130"/>
      <c r="C34" s="130"/>
      <c r="D34" s="130"/>
      <c r="E34" s="130"/>
      <c r="F34" s="130"/>
      <c r="G34" s="130"/>
      <c r="H34" s="130"/>
      <c r="I34" s="130"/>
      <c r="J34" s="589"/>
    </row>
    <row r="35" spans="1:10" ht="15" customHeight="1">
      <c r="A35" s="584" t="s">
        <v>277</v>
      </c>
      <c r="B35" s="585">
        <v>15000</v>
      </c>
      <c r="C35" s="130" t="s">
        <v>391</v>
      </c>
      <c r="D35" s="130"/>
      <c r="E35" s="130">
        <v>40</v>
      </c>
      <c r="F35" s="130" t="s">
        <v>390</v>
      </c>
      <c r="G35" s="130"/>
      <c r="H35" s="130"/>
      <c r="I35" s="130"/>
      <c r="J35" s="589">
        <f>+B35/E35</f>
        <v>375</v>
      </c>
    </row>
    <row r="36" spans="1:10" ht="15" customHeight="1">
      <c r="A36" s="584"/>
      <c r="B36" s="588"/>
      <c r="C36" s="130"/>
      <c r="D36" s="130"/>
      <c r="E36" s="130"/>
      <c r="F36" s="130"/>
      <c r="G36" s="130"/>
      <c r="H36" s="130"/>
      <c r="I36" s="130"/>
      <c r="J36" s="589"/>
    </row>
    <row r="37" spans="1:10" ht="15" customHeight="1">
      <c r="A37" s="444" t="s">
        <v>278</v>
      </c>
      <c r="B37" s="445">
        <v>200</v>
      </c>
      <c r="C37" s="446" t="s">
        <v>279</v>
      </c>
      <c r="D37" s="446"/>
      <c r="E37" s="446"/>
      <c r="F37" s="446"/>
      <c r="G37" s="446"/>
      <c r="H37" s="446"/>
      <c r="I37" s="446"/>
      <c r="J37" s="597">
        <f>+B37/10</f>
        <v>20</v>
      </c>
    </row>
    <row r="38" spans="1:10" ht="15" customHeight="1">
      <c r="A38" s="593"/>
      <c r="B38" s="594"/>
      <c r="C38" s="594"/>
      <c r="D38" s="594"/>
      <c r="E38" s="594"/>
      <c r="F38" s="594"/>
      <c r="G38" s="594"/>
      <c r="H38" s="594"/>
      <c r="I38" s="594"/>
      <c r="J38" s="595"/>
    </row>
    <row r="39" spans="1:10" ht="15" customHeight="1">
      <c r="A39" s="442" t="s">
        <v>271</v>
      </c>
      <c r="B39" s="596"/>
      <c r="C39" s="596"/>
      <c r="D39" s="596"/>
      <c r="E39" s="596"/>
      <c r="F39" s="596"/>
      <c r="G39" s="596"/>
      <c r="H39" s="596"/>
      <c r="I39" s="596"/>
      <c r="J39" s="443">
        <f>SUM(J25:J37)</f>
        <v>1180.9712</v>
      </c>
    </row>
  </sheetData>
  <mergeCells count="6">
    <mergeCell ref="A23:J23"/>
    <mergeCell ref="A1:J1"/>
    <mergeCell ref="A5:J5"/>
    <mergeCell ref="B2:C2"/>
    <mergeCell ref="E2:F2"/>
    <mergeCell ref="H2:I2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workbookViewId="0">
      <selection activeCell="H15" sqref="H15"/>
    </sheetView>
  </sheetViews>
  <sheetFormatPr defaultRowHeight="12.75"/>
  <cols>
    <col min="1" max="1" width="6.28515625" customWidth="1"/>
    <col min="3" max="11" width="8.28515625" customWidth="1"/>
  </cols>
  <sheetData>
    <row r="1" spans="1:11" ht="20.25">
      <c r="A1" s="1320" t="s">
        <v>245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</row>
    <row r="2" spans="1:11" s="2" customFormat="1">
      <c r="A2" s="417"/>
      <c r="B2" s="645" t="s">
        <v>66</v>
      </c>
      <c r="C2" s="645"/>
      <c r="D2" s="645"/>
      <c r="E2" s="645" t="s">
        <v>246</v>
      </c>
      <c r="F2" s="418"/>
      <c r="G2" s="418"/>
      <c r="H2" s="418"/>
      <c r="I2" s="418"/>
      <c r="J2" s="418"/>
      <c r="K2" s="419"/>
    </row>
    <row r="3" spans="1:11" s="2" customFormat="1">
      <c r="A3" s="403"/>
      <c r="B3" s="646" t="s">
        <v>247</v>
      </c>
      <c r="C3" s="647"/>
      <c r="D3" s="647"/>
      <c r="E3" s="648">
        <v>200</v>
      </c>
      <c r="F3" s="398"/>
      <c r="G3" s="398"/>
      <c r="H3" s="398"/>
      <c r="I3" s="398"/>
      <c r="J3" s="398"/>
      <c r="K3" s="402"/>
    </row>
    <row r="4" spans="1:11" s="2" customFormat="1">
      <c r="A4" s="403"/>
      <c r="B4" s="649" t="s">
        <v>248</v>
      </c>
      <c r="C4" s="647"/>
      <c r="D4" s="647"/>
      <c r="E4" s="650">
        <v>185</v>
      </c>
      <c r="F4" s="398"/>
      <c r="G4" s="398"/>
      <c r="H4" s="398"/>
      <c r="I4" s="398"/>
      <c r="J4" s="398"/>
      <c r="K4" s="402"/>
    </row>
    <row r="5" spans="1:11" s="2" customFormat="1">
      <c r="A5" s="401"/>
      <c r="B5" s="398"/>
      <c r="C5" s="398"/>
      <c r="D5" s="398"/>
      <c r="E5" s="398"/>
      <c r="F5" s="398"/>
      <c r="G5" s="398"/>
      <c r="H5" s="398"/>
      <c r="I5" s="398"/>
      <c r="J5" s="398"/>
      <c r="K5" s="402"/>
    </row>
    <row r="6" spans="1:11">
      <c r="A6" s="410"/>
      <c r="B6" s="411"/>
      <c r="C6" s="411"/>
      <c r="D6" s="411"/>
      <c r="E6" s="411"/>
      <c r="F6" s="411"/>
      <c r="G6" s="411"/>
      <c r="H6" s="412"/>
      <c r="I6" s="412"/>
      <c r="J6" s="412"/>
      <c r="K6" s="405"/>
    </row>
    <row r="7" spans="1:11">
      <c r="A7" s="395"/>
      <c r="B7" s="396"/>
      <c r="C7" s="397"/>
      <c r="D7" s="387" t="s">
        <v>19</v>
      </c>
      <c r="E7" s="387"/>
      <c r="F7" s="397"/>
      <c r="G7" s="387" t="s">
        <v>20</v>
      </c>
      <c r="H7" s="397"/>
      <c r="I7" s="397"/>
      <c r="J7" s="387" t="s">
        <v>338</v>
      </c>
      <c r="K7" s="397"/>
    </row>
    <row r="8" spans="1:11">
      <c r="A8" s="396"/>
      <c r="B8" s="396"/>
      <c r="C8" s="396"/>
      <c r="D8" s="396" t="s">
        <v>249</v>
      </c>
      <c r="E8" s="396" t="s">
        <v>49</v>
      </c>
      <c r="F8" s="395"/>
      <c r="G8" s="395" t="str">
        <f>+D8</f>
        <v xml:space="preserve">Rate </v>
      </c>
      <c r="H8" s="395" t="str">
        <f>+E8</f>
        <v>Total</v>
      </c>
      <c r="I8" s="395"/>
      <c r="J8" s="395" t="str">
        <f>+G8</f>
        <v xml:space="preserve">Rate </v>
      </c>
      <c r="K8" s="395" t="str">
        <f>+H8</f>
        <v>Total</v>
      </c>
    </row>
    <row r="9" spans="1:11">
      <c r="A9" s="387" t="s">
        <v>30</v>
      </c>
      <c r="B9" s="395" t="s">
        <v>66</v>
      </c>
      <c r="C9" s="395" t="s">
        <v>250</v>
      </c>
      <c r="D9" s="395" t="s">
        <v>251</v>
      </c>
      <c r="E9" s="395" t="s">
        <v>252</v>
      </c>
      <c r="F9" s="395" t="str">
        <f>+C9</f>
        <v>oz/tree</v>
      </c>
      <c r="G9" s="395" t="str">
        <f>+D9</f>
        <v xml:space="preserve"> #/acre</v>
      </c>
      <c r="H9" s="395" t="str">
        <f>+E9</f>
        <v>Cost/acre</v>
      </c>
      <c r="I9" s="395" t="str">
        <f>+F9</f>
        <v>oz/tree</v>
      </c>
      <c r="J9" s="395" t="str">
        <f>+G9</f>
        <v xml:space="preserve"> #/acre</v>
      </c>
      <c r="K9" s="395" t="str">
        <f>+H9</f>
        <v>Cost/acre</v>
      </c>
    </row>
    <row r="10" spans="1:11">
      <c r="A10" s="600">
        <v>1</v>
      </c>
      <c r="B10" s="421" t="s">
        <v>247</v>
      </c>
      <c r="C10" s="659">
        <v>1</v>
      </c>
      <c r="D10" s="667">
        <f>+C10/16*CLTree</f>
        <v>12.604166666666666</v>
      </c>
      <c r="E10" s="668">
        <f>+D10/2000*UreaTon+D11/2000*KTon</f>
        <v>1.2604166666666665</v>
      </c>
      <c r="F10" s="659">
        <v>0.5</v>
      </c>
      <c r="G10" s="667">
        <f>+F10/16*VATree</f>
        <v>19.446428571428573</v>
      </c>
      <c r="H10" s="668">
        <f>+G10/2000*UreaTon+G11/2000*KTon</f>
        <v>1.9446428571428573</v>
      </c>
      <c r="I10" s="420">
        <v>0.5</v>
      </c>
      <c r="J10" s="414">
        <f>+I10/16*SSTree</f>
        <v>37.8125</v>
      </c>
      <c r="K10" s="416">
        <f>+J10/2000*UreaTon+J11/2000*KTon</f>
        <v>3.78125</v>
      </c>
    </row>
    <row r="11" spans="1:11">
      <c r="A11" s="601"/>
      <c r="B11" s="422" t="s">
        <v>248</v>
      </c>
      <c r="C11" s="604">
        <v>0</v>
      </c>
      <c r="D11" s="399">
        <f t="shared" ref="D11:D25" si="0">+C11/16*CLTree</f>
        <v>0</v>
      </c>
      <c r="E11" s="404"/>
      <c r="F11" s="604">
        <v>0</v>
      </c>
      <c r="G11" s="399">
        <f>+F11/16*VATree</f>
        <v>0</v>
      </c>
      <c r="H11" s="404"/>
      <c r="I11" s="602">
        <v>0</v>
      </c>
      <c r="J11" s="399">
        <f>+I11/16*SSTree</f>
        <v>0</v>
      </c>
      <c r="K11" s="404"/>
    </row>
    <row r="12" spans="1:11">
      <c r="A12" s="601">
        <v>2</v>
      </c>
      <c r="B12" s="422" t="s">
        <v>247</v>
      </c>
      <c r="C12" s="604">
        <v>2</v>
      </c>
      <c r="D12" s="399">
        <f t="shared" si="0"/>
        <v>25.208333333333332</v>
      </c>
      <c r="E12" s="404">
        <f>+D12/2000*UreaTon+D13/2000*KTon</f>
        <v>2.520833333333333</v>
      </c>
      <c r="F12" s="604">
        <v>1</v>
      </c>
      <c r="G12" s="399">
        <f t="shared" ref="G12:G21" si="1">+F12/16*VATree</f>
        <v>38.892857142857146</v>
      </c>
      <c r="H12" s="404">
        <f>+G12/2000*UreaTon+G13/2000*KTon</f>
        <v>3.8892857142857147</v>
      </c>
      <c r="I12" s="602">
        <v>1.1000000000000001</v>
      </c>
      <c r="J12" s="399">
        <f t="shared" ref="J12:J17" si="2">+I12/16*SSTree</f>
        <v>83.1875</v>
      </c>
      <c r="K12" s="404">
        <f>+J12/2000*UreaTon+J13/2000*KTon</f>
        <v>8.3187499999999996</v>
      </c>
    </row>
    <row r="13" spans="1:11">
      <c r="A13" s="601"/>
      <c r="B13" s="422" t="s">
        <v>248</v>
      </c>
      <c r="C13" s="604">
        <v>0</v>
      </c>
      <c r="D13" s="399">
        <f t="shared" si="0"/>
        <v>0</v>
      </c>
      <c r="E13" s="404"/>
      <c r="F13" s="604">
        <v>0</v>
      </c>
      <c r="G13" s="399">
        <f t="shared" si="1"/>
        <v>0</v>
      </c>
      <c r="H13" s="404"/>
      <c r="I13" s="602">
        <v>0</v>
      </c>
      <c r="J13" s="399">
        <f t="shared" si="2"/>
        <v>0</v>
      </c>
      <c r="K13" s="404"/>
    </row>
    <row r="14" spans="1:11">
      <c r="A14" s="601">
        <v>3</v>
      </c>
      <c r="B14" s="422" t="s">
        <v>247</v>
      </c>
      <c r="C14" s="604">
        <v>3</v>
      </c>
      <c r="D14" s="399">
        <f t="shared" si="0"/>
        <v>37.8125</v>
      </c>
      <c r="E14" s="404">
        <f>+D14/2000*UreaTon+D15/2000*KTon</f>
        <v>3.78125</v>
      </c>
      <c r="F14" s="604">
        <v>2</v>
      </c>
      <c r="G14" s="399">
        <f t="shared" si="1"/>
        <v>77.785714285714292</v>
      </c>
      <c r="H14" s="404">
        <f>+G14/2000*UreaTon+G15/2000*KTon</f>
        <v>7.7785714285714294</v>
      </c>
      <c r="I14" s="602">
        <v>1.1000000000000001</v>
      </c>
      <c r="J14" s="399">
        <f t="shared" si="2"/>
        <v>83.1875</v>
      </c>
      <c r="K14" s="404">
        <f>+J14/2000*UreaTon+J15/2000*KTon</f>
        <v>15.314062499999999</v>
      </c>
    </row>
    <row r="15" spans="1:11">
      <c r="A15" s="601"/>
      <c r="B15" s="422" t="s">
        <v>248</v>
      </c>
      <c r="C15" s="604">
        <v>0</v>
      </c>
      <c r="D15" s="399">
        <f t="shared" si="0"/>
        <v>0</v>
      </c>
      <c r="E15" s="404"/>
      <c r="F15" s="604">
        <v>0</v>
      </c>
      <c r="G15" s="399">
        <f t="shared" si="1"/>
        <v>0</v>
      </c>
      <c r="H15" s="404"/>
      <c r="I15" s="602">
        <v>1</v>
      </c>
      <c r="J15" s="399">
        <f t="shared" si="2"/>
        <v>75.625</v>
      </c>
      <c r="K15" s="404"/>
    </row>
    <row r="16" spans="1:11">
      <c r="A16" s="601">
        <v>4</v>
      </c>
      <c r="B16" s="422" t="s">
        <v>247</v>
      </c>
      <c r="C16" s="604">
        <v>4</v>
      </c>
      <c r="D16" s="399">
        <f t="shared" si="0"/>
        <v>50.416666666666664</v>
      </c>
      <c r="E16" s="404">
        <f>+D16/2000*UreaTon+D17/2000*KTon</f>
        <v>5.0416666666666661</v>
      </c>
      <c r="F16" s="604">
        <v>2</v>
      </c>
      <c r="G16" s="399">
        <f t="shared" si="1"/>
        <v>77.785714285714292</v>
      </c>
      <c r="H16" s="404">
        <f>+G16/2000*UreaTon+G17/2000*KTon</f>
        <v>14.973750000000003</v>
      </c>
      <c r="I16" s="602">
        <v>1.1000000000000001</v>
      </c>
      <c r="J16" s="399">
        <f t="shared" si="2"/>
        <v>83.1875</v>
      </c>
      <c r="K16" s="404">
        <f>+J16/2000*UreaTon+J17/2000*KTon</f>
        <v>22.309374999999999</v>
      </c>
    </row>
    <row r="17" spans="1:11">
      <c r="A17" s="601"/>
      <c r="B17" s="422" t="s">
        <v>248</v>
      </c>
      <c r="C17" s="604">
        <v>0</v>
      </c>
      <c r="D17" s="399">
        <f t="shared" si="0"/>
        <v>0</v>
      </c>
      <c r="E17" s="404"/>
      <c r="F17" s="604">
        <v>2</v>
      </c>
      <c r="G17" s="399">
        <f t="shared" si="1"/>
        <v>77.785714285714292</v>
      </c>
      <c r="H17" s="404"/>
      <c r="I17" s="602">
        <v>2</v>
      </c>
      <c r="J17" s="399">
        <f t="shared" si="2"/>
        <v>151.25</v>
      </c>
      <c r="K17" s="404"/>
    </row>
    <row r="18" spans="1:11">
      <c r="A18" s="601">
        <v>5</v>
      </c>
      <c r="B18" s="422" t="s">
        <v>247</v>
      </c>
      <c r="C18" s="604">
        <v>5</v>
      </c>
      <c r="D18" s="399">
        <f t="shared" si="0"/>
        <v>63.020833333333329</v>
      </c>
      <c r="E18" s="404">
        <f>+D18/2000*UreaTon+D19/2000*KTon</f>
        <v>8.6338541666666657</v>
      </c>
      <c r="F18" s="604">
        <v>2</v>
      </c>
      <c r="G18" s="399">
        <f t="shared" si="1"/>
        <v>77.785714285714292</v>
      </c>
      <c r="H18" s="404">
        <f>+G18/2000*UreaTon+G19/2000*KTon</f>
        <v>14.973750000000003</v>
      </c>
      <c r="I18" s="602"/>
      <c r="J18" s="400"/>
      <c r="K18" s="404"/>
    </row>
    <row r="19" spans="1:11">
      <c r="A19" s="601"/>
      <c r="B19" s="422" t="s">
        <v>248</v>
      </c>
      <c r="C19" s="604">
        <v>2</v>
      </c>
      <c r="D19" s="399">
        <f t="shared" si="0"/>
        <v>25.208333333333332</v>
      </c>
      <c r="E19" s="404"/>
      <c r="F19" s="604">
        <v>2</v>
      </c>
      <c r="G19" s="399">
        <f t="shared" si="1"/>
        <v>77.785714285714292</v>
      </c>
      <c r="H19" s="404"/>
      <c r="I19" s="602"/>
      <c r="J19" s="400"/>
      <c r="K19" s="404"/>
    </row>
    <row r="20" spans="1:11">
      <c r="A20" s="601">
        <v>6</v>
      </c>
      <c r="B20" s="422" t="s">
        <v>247</v>
      </c>
      <c r="C20" s="604">
        <v>5</v>
      </c>
      <c r="D20" s="399">
        <f t="shared" si="0"/>
        <v>63.020833333333329</v>
      </c>
      <c r="E20" s="404">
        <f>+D20/2000*UreaTon+D21/2000*KTon</f>
        <v>10.965624999999999</v>
      </c>
      <c r="F20" s="604">
        <v>2</v>
      </c>
      <c r="G20" s="399">
        <f t="shared" si="1"/>
        <v>77.785714285714292</v>
      </c>
      <c r="H20" s="404">
        <f>+G20/2000*UreaTon+G21/2000*KTon</f>
        <v>18.571339285714288</v>
      </c>
      <c r="I20" s="602"/>
      <c r="J20" s="400"/>
      <c r="K20" s="404"/>
    </row>
    <row r="21" spans="1:11">
      <c r="A21" s="601"/>
      <c r="B21" s="422" t="s">
        <v>248</v>
      </c>
      <c r="C21" s="604">
        <v>4</v>
      </c>
      <c r="D21" s="399">
        <f t="shared" si="0"/>
        <v>50.416666666666664</v>
      </c>
      <c r="E21" s="404"/>
      <c r="F21" s="604">
        <v>3</v>
      </c>
      <c r="G21" s="399">
        <f t="shared" si="1"/>
        <v>116.67857142857144</v>
      </c>
      <c r="H21" s="404"/>
      <c r="I21" s="602"/>
      <c r="J21" s="400"/>
      <c r="K21" s="404"/>
    </row>
    <row r="22" spans="1:11">
      <c r="A22" s="601">
        <v>7</v>
      </c>
      <c r="B22" s="422" t="s">
        <v>247</v>
      </c>
      <c r="C22" s="604">
        <v>6</v>
      </c>
      <c r="D22" s="399">
        <f t="shared" si="0"/>
        <v>75.625</v>
      </c>
      <c r="E22" s="404">
        <f>+D22/2000*UreaTon+D23/2000*KTon</f>
        <v>14.557812500000001</v>
      </c>
      <c r="F22" s="604"/>
      <c r="G22" s="400"/>
      <c r="H22" s="404"/>
      <c r="I22" s="602"/>
      <c r="J22" s="400"/>
      <c r="K22" s="404"/>
    </row>
    <row r="23" spans="1:11">
      <c r="A23" s="601"/>
      <c r="B23" s="422" t="s">
        <v>248</v>
      </c>
      <c r="C23" s="604">
        <v>6</v>
      </c>
      <c r="D23" s="399">
        <f t="shared" si="0"/>
        <v>75.625</v>
      </c>
      <c r="E23" s="404"/>
      <c r="F23" s="604"/>
      <c r="G23" s="400"/>
      <c r="H23" s="404"/>
      <c r="I23" s="602"/>
      <c r="J23" s="400"/>
      <c r="K23" s="404"/>
    </row>
    <row r="24" spans="1:11">
      <c r="A24" s="601">
        <v>8</v>
      </c>
      <c r="B24" s="422" t="s">
        <v>247</v>
      </c>
      <c r="C24" s="604">
        <v>6</v>
      </c>
      <c r="D24" s="399">
        <f t="shared" si="0"/>
        <v>75.625</v>
      </c>
      <c r="E24" s="404">
        <f>+D24/2000*UreaTon+D25/2000*KTon</f>
        <v>16.889583333333334</v>
      </c>
      <c r="F24" s="604"/>
      <c r="G24" s="400"/>
      <c r="H24" s="404"/>
      <c r="I24" s="602"/>
      <c r="J24" s="400"/>
      <c r="K24" s="404"/>
    </row>
    <row r="25" spans="1:11">
      <c r="A25" s="601"/>
      <c r="B25" s="422" t="s">
        <v>248</v>
      </c>
      <c r="C25" s="604">
        <v>8</v>
      </c>
      <c r="D25" s="399">
        <f t="shared" si="0"/>
        <v>100.83333333333333</v>
      </c>
      <c r="E25" s="404"/>
      <c r="F25" s="604"/>
      <c r="G25" s="400"/>
      <c r="H25" s="404"/>
      <c r="I25" s="602"/>
      <c r="J25" s="400"/>
      <c r="K25" s="404"/>
    </row>
    <row r="26" spans="1:11">
      <c r="A26" s="604"/>
      <c r="B26" s="605"/>
      <c r="C26" s="604"/>
      <c r="D26" s="603"/>
      <c r="E26" s="605"/>
      <c r="F26" s="604"/>
      <c r="G26" s="603"/>
      <c r="H26" s="605"/>
      <c r="I26" s="602"/>
      <c r="J26" s="603"/>
      <c r="K26" s="605"/>
    </row>
    <row r="27" spans="1:11">
      <c r="A27" s="606"/>
      <c r="B27" s="607"/>
      <c r="C27" s="606"/>
      <c r="D27" s="661"/>
      <c r="E27" s="607"/>
      <c r="F27" s="606"/>
      <c r="G27" s="661"/>
      <c r="H27" s="607"/>
      <c r="I27" s="608"/>
      <c r="J27" s="609"/>
      <c r="K27" s="610"/>
    </row>
    <row r="28" spans="1:11" ht="20.25">
      <c r="A28" s="1317" t="s">
        <v>253</v>
      </c>
      <c r="B28" s="1318"/>
      <c r="C28" s="1318"/>
      <c r="D28" s="1318"/>
      <c r="E28" s="1318"/>
      <c r="F28" s="1318"/>
      <c r="G28" s="1318"/>
      <c r="H28" s="1318"/>
      <c r="I28" s="1318"/>
      <c r="J28" s="1318"/>
      <c r="K28" s="1319"/>
    </row>
    <row r="29" spans="1:11">
      <c r="A29" s="611" t="s">
        <v>254</v>
      </c>
      <c r="B29" s="413"/>
      <c r="C29" s="413"/>
      <c r="D29" s="413"/>
      <c r="E29" s="413"/>
      <c r="F29" s="413"/>
      <c r="G29" s="413"/>
      <c r="H29" s="413"/>
      <c r="I29" s="413"/>
      <c r="J29" s="413"/>
      <c r="K29" s="612"/>
    </row>
    <row r="30" spans="1:11">
      <c r="A30" s="613"/>
      <c r="B30" s="609"/>
      <c r="C30" s="609"/>
      <c r="D30" s="609"/>
      <c r="E30" s="609"/>
      <c r="F30" s="609"/>
      <c r="G30" s="609"/>
      <c r="H30" s="609"/>
      <c r="I30" s="609"/>
      <c r="J30" s="609"/>
      <c r="K30" s="610"/>
    </row>
    <row r="31" spans="1:11">
      <c r="A31" s="614"/>
      <c r="B31" s="1321" t="s">
        <v>19</v>
      </c>
      <c r="C31" s="1322"/>
      <c r="D31" s="1323"/>
      <c r="E31" s="1321" t="s">
        <v>20</v>
      </c>
      <c r="F31" s="1322"/>
      <c r="G31" s="1323"/>
      <c r="H31" s="1321" t="s">
        <v>338</v>
      </c>
      <c r="I31" s="1322"/>
      <c r="J31" s="1323"/>
      <c r="K31" s="615"/>
    </row>
    <row r="32" spans="1:11">
      <c r="A32" s="150" t="s">
        <v>30</v>
      </c>
      <c r="B32" s="150" t="s">
        <v>223</v>
      </c>
      <c r="C32" s="150" t="s">
        <v>223</v>
      </c>
      <c r="D32" s="616" t="s">
        <v>224</v>
      </c>
      <c r="E32" s="150" t="str">
        <f t="shared" ref="E32:J33" si="3">+B32</f>
        <v># of trips</v>
      </c>
      <c r="F32" s="150" t="str">
        <f t="shared" si="3"/>
        <v># of trips</v>
      </c>
      <c r="G32" s="150" t="str">
        <f t="shared" si="3"/>
        <v>Hours</v>
      </c>
      <c r="H32" s="617" t="str">
        <f t="shared" si="3"/>
        <v># of trips</v>
      </c>
      <c r="I32" s="150" t="str">
        <f t="shared" si="3"/>
        <v># of trips</v>
      </c>
      <c r="J32" s="150" t="str">
        <f t="shared" si="3"/>
        <v>Hours</v>
      </c>
      <c r="K32" s="615"/>
    </row>
    <row r="33" spans="1:11">
      <c r="A33" s="150"/>
      <c r="B33" s="150" t="s">
        <v>169</v>
      </c>
      <c r="C33" s="150" t="s">
        <v>225</v>
      </c>
      <c r="D33" s="616" t="s">
        <v>38</v>
      </c>
      <c r="E33" s="150" t="str">
        <f t="shared" si="3"/>
        <v>Applied</v>
      </c>
      <c r="F33" s="150" t="str">
        <f t="shared" si="3"/>
        <v>E.O.R.</v>
      </c>
      <c r="G33" s="150" t="str">
        <f t="shared" si="3"/>
        <v xml:space="preserve"> /Acre</v>
      </c>
      <c r="H33" s="617" t="str">
        <f t="shared" si="3"/>
        <v>Applied</v>
      </c>
      <c r="I33" s="150" t="str">
        <f t="shared" si="3"/>
        <v>E.O.R.</v>
      </c>
      <c r="J33" s="150" t="str">
        <f t="shared" si="3"/>
        <v xml:space="preserve"> /Acre</v>
      </c>
      <c r="K33" s="615"/>
    </row>
    <row r="34" spans="1:11">
      <c r="A34" s="618">
        <v>1</v>
      </c>
      <c r="B34" s="619">
        <v>1</v>
      </c>
      <c r="C34" s="619">
        <v>1</v>
      </c>
      <c r="D34" s="620">
        <f t="shared" ref="D34:D41" si="4">+CLFertTime</f>
        <v>0.1</v>
      </c>
      <c r="E34" s="618">
        <v>1</v>
      </c>
      <c r="F34" s="619">
        <v>1</v>
      </c>
      <c r="G34" s="621">
        <f>+CLFertTime1</f>
        <v>0.1</v>
      </c>
      <c r="H34" s="622">
        <v>1</v>
      </c>
      <c r="I34" s="619">
        <v>1</v>
      </c>
      <c r="J34" s="623">
        <f>+CLFertTime1</f>
        <v>0.1</v>
      </c>
      <c r="K34" s="612"/>
    </row>
    <row r="35" spans="1:11">
      <c r="A35" s="601">
        <v>2</v>
      </c>
      <c r="B35" s="599">
        <v>1</v>
      </c>
      <c r="C35" s="599">
        <v>1</v>
      </c>
      <c r="D35" s="624">
        <f t="shared" si="4"/>
        <v>0.1</v>
      </c>
      <c r="E35" s="601">
        <v>1</v>
      </c>
      <c r="F35" s="599">
        <v>1</v>
      </c>
      <c r="G35" s="625">
        <f>+CLFertTime2</f>
        <v>0.1</v>
      </c>
      <c r="H35" s="598">
        <v>1</v>
      </c>
      <c r="I35" s="599">
        <v>1</v>
      </c>
      <c r="J35" s="626">
        <f>+CLFertTime2</f>
        <v>0.1</v>
      </c>
      <c r="K35" s="605"/>
    </row>
    <row r="36" spans="1:11">
      <c r="A36" s="601">
        <v>3</v>
      </c>
      <c r="B36" s="599">
        <v>1</v>
      </c>
      <c r="C36" s="599">
        <v>1</v>
      </c>
      <c r="D36" s="624">
        <f t="shared" si="4"/>
        <v>0.1</v>
      </c>
      <c r="E36" s="601">
        <v>1</v>
      </c>
      <c r="F36" s="599">
        <v>1</v>
      </c>
      <c r="G36" s="625">
        <f>+CLFertTime2</f>
        <v>0.1</v>
      </c>
      <c r="H36" s="598">
        <v>1</v>
      </c>
      <c r="I36" s="599">
        <v>1</v>
      </c>
      <c r="J36" s="626">
        <f>+CLFertTime2</f>
        <v>0.1</v>
      </c>
      <c r="K36" s="605"/>
    </row>
    <row r="37" spans="1:11">
      <c r="A37" s="601">
        <v>4</v>
      </c>
      <c r="B37" s="599">
        <v>1</v>
      </c>
      <c r="C37" s="599">
        <v>1</v>
      </c>
      <c r="D37" s="624">
        <f t="shared" si="4"/>
        <v>0.1</v>
      </c>
      <c r="E37" s="601">
        <v>1</v>
      </c>
      <c r="F37" s="599">
        <v>1</v>
      </c>
      <c r="G37" s="625">
        <f>+CLFertTime2</f>
        <v>0.1</v>
      </c>
      <c r="H37" s="598">
        <v>1</v>
      </c>
      <c r="I37" s="599">
        <v>1</v>
      </c>
      <c r="J37" s="626">
        <f>+CLFertTime2</f>
        <v>0.1</v>
      </c>
      <c r="K37" s="605"/>
    </row>
    <row r="38" spans="1:11">
      <c r="A38" s="601">
        <v>5</v>
      </c>
      <c r="B38" s="599">
        <v>1</v>
      </c>
      <c r="C38" s="599">
        <v>1</v>
      </c>
      <c r="D38" s="624">
        <f t="shared" si="4"/>
        <v>0.1</v>
      </c>
      <c r="E38" s="601">
        <v>1</v>
      </c>
      <c r="F38" s="599">
        <v>1</v>
      </c>
      <c r="G38" s="625">
        <f>+CLFertTime2</f>
        <v>0.1</v>
      </c>
      <c r="H38" s="598"/>
      <c r="I38" s="599"/>
      <c r="J38" s="599"/>
      <c r="K38" s="605"/>
    </row>
    <row r="39" spans="1:11">
      <c r="A39" s="601">
        <v>6</v>
      </c>
      <c r="B39" s="599">
        <v>1</v>
      </c>
      <c r="C39" s="599">
        <v>1</v>
      </c>
      <c r="D39" s="624">
        <f t="shared" si="4"/>
        <v>0.1</v>
      </c>
      <c r="E39" s="601">
        <v>1</v>
      </c>
      <c r="F39" s="599">
        <v>1</v>
      </c>
      <c r="G39" s="625">
        <f>+CLFertTime2</f>
        <v>0.1</v>
      </c>
      <c r="H39" s="598"/>
      <c r="I39" s="599"/>
      <c r="J39" s="599"/>
      <c r="K39" s="605"/>
    </row>
    <row r="40" spans="1:11">
      <c r="A40" s="601">
        <v>7</v>
      </c>
      <c r="B40" s="599">
        <v>1</v>
      </c>
      <c r="C40" s="599">
        <v>1</v>
      </c>
      <c r="D40" s="624">
        <f t="shared" si="4"/>
        <v>0.1</v>
      </c>
      <c r="E40" s="601"/>
      <c r="F40" s="599"/>
      <c r="G40" s="627"/>
      <c r="H40" s="598"/>
      <c r="I40" s="599"/>
      <c r="J40" s="599"/>
      <c r="K40" s="605"/>
    </row>
    <row r="41" spans="1:11">
      <c r="A41" s="601">
        <v>8</v>
      </c>
      <c r="B41" s="599">
        <v>1</v>
      </c>
      <c r="C41" s="599">
        <v>1</v>
      </c>
      <c r="D41" s="624">
        <f t="shared" si="4"/>
        <v>0.1</v>
      </c>
      <c r="E41" s="601"/>
      <c r="F41" s="599"/>
      <c r="G41" s="627"/>
      <c r="H41" s="598"/>
      <c r="I41" s="599"/>
      <c r="J41" s="599"/>
      <c r="K41" s="605"/>
    </row>
    <row r="42" spans="1:11">
      <c r="A42" s="606"/>
      <c r="B42" s="628"/>
      <c r="C42" s="628"/>
      <c r="D42" s="629"/>
      <c r="E42" s="630"/>
      <c r="F42" s="628"/>
      <c r="G42" s="631"/>
      <c r="H42" s="632"/>
      <c r="I42" s="628"/>
      <c r="J42" s="628"/>
      <c r="K42" s="607"/>
    </row>
    <row r="43" spans="1:11">
      <c r="A43" s="633"/>
      <c r="B43" s="634"/>
      <c r="C43" s="634"/>
      <c r="D43" s="634"/>
      <c r="E43" s="634"/>
      <c r="F43" s="634"/>
      <c r="G43" s="634"/>
      <c r="H43" s="634"/>
      <c r="I43" s="634"/>
      <c r="J43" s="634"/>
      <c r="K43" s="635"/>
    </row>
    <row r="44" spans="1:11">
      <c r="A44" s="636" t="s">
        <v>229</v>
      </c>
      <c r="B44" s="150"/>
      <c r="C44" s="150" t="s">
        <v>230</v>
      </c>
      <c r="D44" s="150" t="s">
        <v>231</v>
      </c>
      <c r="E44" s="150" t="s">
        <v>224</v>
      </c>
      <c r="F44" s="150" t="s">
        <v>232</v>
      </c>
      <c r="G44" s="150" t="s">
        <v>167</v>
      </c>
      <c r="H44" s="637">
        <v>4.5</v>
      </c>
      <c r="I44" s="638" t="s">
        <v>360</v>
      </c>
      <c r="J44" s="638">
        <f>+H44*5280</f>
        <v>23760</v>
      </c>
      <c r="K44" s="639" t="s">
        <v>361</v>
      </c>
    </row>
    <row r="45" spans="1:11">
      <c r="A45" s="615"/>
      <c r="B45" s="150"/>
      <c r="C45" s="150" t="s">
        <v>233</v>
      </c>
      <c r="D45" s="150" t="s">
        <v>234</v>
      </c>
      <c r="E45" s="150" t="s">
        <v>255</v>
      </c>
      <c r="F45" s="150" t="str">
        <f>+E45</f>
        <v xml:space="preserve"> /Load</v>
      </c>
      <c r="G45" s="150" t="s">
        <v>38</v>
      </c>
      <c r="H45" s="602">
        <v>18</v>
      </c>
      <c r="I45" s="603">
        <f>43560/H45</f>
        <v>2420</v>
      </c>
      <c r="J45" s="603">
        <f>+J44/I45</f>
        <v>9.8181818181818183</v>
      </c>
      <c r="K45" s="605"/>
    </row>
    <row r="46" spans="1:11">
      <c r="A46" s="611" t="s">
        <v>19</v>
      </c>
      <c r="B46" s="619"/>
      <c r="C46" s="619">
        <f>+CLRowSpace</f>
        <v>18</v>
      </c>
      <c r="D46" s="640">
        <f>+C46/C46*100</f>
        <v>100</v>
      </c>
      <c r="E46" s="619">
        <v>0.1</v>
      </c>
      <c r="F46" s="619">
        <v>1</v>
      </c>
      <c r="G46" s="641">
        <f>+E46/F46</f>
        <v>0.1</v>
      </c>
      <c r="H46" s="602"/>
      <c r="I46" s="603"/>
      <c r="J46" s="603"/>
      <c r="K46" s="605"/>
    </row>
    <row r="47" spans="1:11">
      <c r="A47" s="604" t="s">
        <v>20</v>
      </c>
      <c r="B47" s="599"/>
      <c r="C47" s="599">
        <f>+VARowSpace</f>
        <v>14</v>
      </c>
      <c r="D47" s="642">
        <f>+C46/C47*100</f>
        <v>128.57142857142858</v>
      </c>
      <c r="E47" s="599"/>
      <c r="F47" s="599"/>
      <c r="G47" s="627">
        <f>+G46*D47*0.01</f>
        <v>0.12857142857142859</v>
      </c>
      <c r="H47" s="598" t="s">
        <v>371</v>
      </c>
      <c r="I47" s="599" t="s">
        <v>372</v>
      </c>
      <c r="J47" s="599">
        <f>200/20</f>
        <v>10</v>
      </c>
      <c r="K47" s="605"/>
    </row>
    <row r="48" spans="1:11">
      <c r="A48" s="606" t="s">
        <v>338</v>
      </c>
      <c r="B48" s="628"/>
      <c r="C48" s="628">
        <f>+SSRowSpace</f>
        <v>12</v>
      </c>
      <c r="D48" s="643">
        <f>+C46/C48*100</f>
        <v>150</v>
      </c>
      <c r="E48" s="628"/>
      <c r="F48" s="628"/>
      <c r="G48" s="644">
        <f>+G46*D48*0.01</f>
        <v>0.15</v>
      </c>
      <c r="H48" s="632"/>
      <c r="I48" s="628"/>
      <c r="J48" s="628"/>
      <c r="K48" s="607"/>
    </row>
    <row r="94" spans="1:11">
      <c r="A94" s="38"/>
      <c r="B94" s="40"/>
      <c r="C94" s="40"/>
      <c r="D94" s="40"/>
      <c r="E94" s="40"/>
      <c r="F94" s="40"/>
      <c r="G94" s="40"/>
      <c r="H94" s="40"/>
      <c r="I94" s="40"/>
      <c r="J94" s="40"/>
      <c r="K94" s="55"/>
    </row>
    <row r="95" spans="1:11">
      <c r="A95" s="39"/>
      <c r="B95" s="11"/>
      <c r="C95" s="11"/>
      <c r="D95" s="11"/>
      <c r="E95" s="11"/>
      <c r="F95" s="11"/>
      <c r="G95" s="11"/>
      <c r="H95" s="11"/>
      <c r="I95" s="127"/>
      <c r="J95" s="11"/>
      <c r="K95" s="57"/>
    </row>
    <row r="96" spans="1:11">
      <c r="A96">
        <v>1</v>
      </c>
      <c r="I96" s="126">
        <v>100</v>
      </c>
      <c r="J96">
        <f>+G96*E96*A96*I96*0.01</f>
        <v>0</v>
      </c>
    </row>
    <row r="97" spans="1:10">
      <c r="A97">
        <v>1</v>
      </c>
      <c r="E97">
        <v>5</v>
      </c>
      <c r="I97" s="126">
        <v>100</v>
      </c>
      <c r="J97">
        <f>+G97*E97*A97*I97*0.01</f>
        <v>0</v>
      </c>
    </row>
    <row r="98" spans="1:10">
      <c r="A98">
        <v>1</v>
      </c>
      <c r="E98">
        <v>5</v>
      </c>
      <c r="I98" s="126">
        <v>100</v>
      </c>
      <c r="J98">
        <f>+G98*E98*A98*I98*0.01</f>
        <v>0</v>
      </c>
    </row>
    <row r="99" spans="1:10">
      <c r="I99" s="126"/>
    </row>
    <row r="100" spans="1:10">
      <c r="I100" s="126">
        <v>100</v>
      </c>
      <c r="J100">
        <f>+G100*E100*A100*I100*0.01</f>
        <v>0</v>
      </c>
    </row>
    <row r="101" spans="1:10">
      <c r="I101" s="126"/>
    </row>
    <row r="102" spans="1:10">
      <c r="C102" t="s">
        <v>220</v>
      </c>
      <c r="D102" s="104" t="s">
        <v>351</v>
      </c>
      <c r="E102" s="104"/>
      <c r="F102" s="104"/>
      <c r="G102" s="104"/>
      <c r="I102" s="126">
        <v>100</v>
      </c>
      <c r="J102">
        <f>+G102*E102*A102*I102*0.01</f>
        <v>0</v>
      </c>
    </row>
    <row r="103" spans="1:10">
      <c r="I103" s="126"/>
    </row>
    <row r="104" spans="1:10">
      <c r="I104" s="126">
        <v>100</v>
      </c>
      <c r="J104">
        <f>+G104*E104*A104*I104*0.01</f>
        <v>0</v>
      </c>
    </row>
    <row r="105" spans="1:10">
      <c r="E105" s="100"/>
      <c r="F105" s="100"/>
      <c r="G105" s="100"/>
      <c r="H105" s="100"/>
      <c r="I105" s="126"/>
    </row>
    <row r="106" spans="1:10">
      <c r="A106">
        <v>1</v>
      </c>
      <c r="B106" t="s">
        <v>350</v>
      </c>
      <c r="C106" t="s">
        <v>216</v>
      </c>
      <c r="E106" s="100">
        <v>2</v>
      </c>
      <c r="F106" s="100"/>
      <c r="G106" s="100"/>
      <c r="H106" s="100"/>
      <c r="I106" s="126">
        <v>100</v>
      </c>
      <c r="J106">
        <f>+G106*E106*A106*I106*0.01</f>
        <v>0</v>
      </c>
    </row>
    <row r="107" spans="1:10">
      <c r="A107">
        <v>1</v>
      </c>
      <c r="E107">
        <v>5</v>
      </c>
      <c r="I107" s="126">
        <v>100</v>
      </c>
      <c r="J107">
        <f>+G107*E107*A107*I107*0.01</f>
        <v>0</v>
      </c>
    </row>
    <row r="108" spans="1:10">
      <c r="A108" s="124">
        <v>1</v>
      </c>
      <c r="E108">
        <v>5</v>
      </c>
      <c r="I108" s="126">
        <v>100</v>
      </c>
      <c r="J108">
        <f>+G108*E108*A108*I108*0.01</f>
        <v>0</v>
      </c>
    </row>
  </sheetData>
  <mergeCells count="5">
    <mergeCell ref="A28:K28"/>
    <mergeCell ref="A1:K1"/>
    <mergeCell ref="B31:D31"/>
    <mergeCell ref="E31:G31"/>
    <mergeCell ref="H31:J31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H15" sqref="H15"/>
    </sheetView>
  </sheetViews>
  <sheetFormatPr defaultRowHeight="15" customHeight="1"/>
  <cols>
    <col min="1" max="10" width="8.7109375" style="119" customWidth="1"/>
    <col min="11" max="11" width="9" style="119" customWidth="1"/>
    <col min="12" max="16384" width="9.140625" style="119"/>
  </cols>
  <sheetData>
    <row r="1" spans="1:10" ht="24" customHeight="1">
      <c r="A1" s="1317" t="s">
        <v>163</v>
      </c>
      <c r="B1" s="1318"/>
      <c r="C1" s="1318"/>
      <c r="D1" s="1318"/>
      <c r="E1" s="1318"/>
      <c r="F1" s="1318"/>
      <c r="G1" s="1318"/>
      <c r="H1" s="1318"/>
      <c r="I1" s="1318"/>
      <c r="J1" s="1319"/>
    </row>
    <row r="2" spans="1:10" ht="15" customHeight="1">
      <c r="A2" s="614"/>
      <c r="B2" s="615"/>
      <c r="C2" s="569" t="s">
        <v>164</v>
      </c>
      <c r="D2" s="569"/>
      <c r="E2" s="569"/>
      <c r="F2" s="569" t="s">
        <v>165</v>
      </c>
      <c r="G2" s="615"/>
      <c r="H2" s="569"/>
      <c r="I2" s="569" t="s">
        <v>338</v>
      </c>
      <c r="J2" s="615"/>
    </row>
    <row r="3" spans="1:10" ht="15" customHeight="1">
      <c r="A3" s="569"/>
      <c r="B3" s="150"/>
      <c r="C3" s="150" t="s">
        <v>166</v>
      </c>
      <c r="D3" s="150"/>
      <c r="E3" s="150"/>
      <c r="F3" s="150" t="str">
        <f>+C3</f>
        <v xml:space="preserve">  Mouse Control</v>
      </c>
      <c r="G3" s="150"/>
      <c r="H3" s="150"/>
      <c r="I3" s="150" t="str">
        <f>+F3</f>
        <v xml:space="preserve">  Mouse Control</v>
      </c>
      <c r="J3" s="150"/>
    </row>
    <row r="4" spans="1:10" ht="15" customHeight="1">
      <c r="A4" s="150" t="s">
        <v>30</v>
      </c>
      <c r="B4" s="150" t="s">
        <v>167</v>
      </c>
      <c r="C4" s="150" t="s">
        <v>168</v>
      </c>
      <c r="D4" s="150" t="s">
        <v>37</v>
      </c>
      <c r="E4" s="150" t="str">
        <f>+B4</f>
        <v>Time</v>
      </c>
      <c r="F4" s="150" t="str">
        <f>+C4</f>
        <v>Percent</v>
      </c>
      <c r="G4" s="150" t="str">
        <f>+D4</f>
        <v>Cost</v>
      </c>
      <c r="H4" s="150" t="str">
        <f>+E4</f>
        <v>Time</v>
      </c>
      <c r="I4" s="150" t="str">
        <f>+F4</f>
        <v>Percent</v>
      </c>
      <c r="J4" s="150" t="str">
        <f>+G4</f>
        <v>Cost</v>
      </c>
    </row>
    <row r="5" spans="1:10" ht="15" customHeight="1">
      <c r="A5" s="150"/>
      <c r="B5" s="150" t="s">
        <v>38</v>
      </c>
      <c r="C5" s="150" t="s">
        <v>169</v>
      </c>
      <c r="D5" s="150" t="s">
        <v>38</v>
      </c>
      <c r="E5" s="150" t="str">
        <f>+B5</f>
        <v xml:space="preserve"> /Acre</v>
      </c>
      <c r="F5" s="150" t="str">
        <f>+C5</f>
        <v>Applied</v>
      </c>
      <c r="G5" s="150" t="str">
        <f>+D5</f>
        <v xml:space="preserve"> /Acre</v>
      </c>
      <c r="H5" s="150" t="str">
        <f>+E5</f>
        <v xml:space="preserve"> /Acre</v>
      </c>
      <c r="I5" s="150" t="str">
        <f>+F5</f>
        <v>Applied</v>
      </c>
      <c r="J5" s="150" t="str">
        <f>+G5</f>
        <v xml:space="preserve"> /Acre</v>
      </c>
    </row>
    <row r="6" spans="1:10" ht="15" customHeight="1">
      <c r="A6" s="618">
        <v>1</v>
      </c>
      <c r="B6" s="656">
        <f>1/8.5</f>
        <v>0.11764705882352941</v>
      </c>
      <c r="C6" s="619">
        <v>100</v>
      </c>
      <c r="D6" s="415">
        <f t="shared" ref="D6:D13" si="0">+C6*BaitCost*0.01</f>
        <v>5.5</v>
      </c>
      <c r="E6" s="656">
        <f t="shared" ref="E6:E11" si="1">1/8.5</f>
        <v>0.11764705882352941</v>
      </c>
      <c r="F6" s="619">
        <v>100</v>
      </c>
      <c r="G6" s="415">
        <f t="shared" ref="G6:G11" si="2">+F6*BaitCost*0.01</f>
        <v>5.5</v>
      </c>
      <c r="H6" s="656">
        <f>1/8.5</f>
        <v>0.11764705882352941</v>
      </c>
      <c r="I6" s="619">
        <v>100</v>
      </c>
      <c r="J6" s="416">
        <f>+I6*BaitCost*0.01</f>
        <v>5.5</v>
      </c>
    </row>
    <row r="7" spans="1:10" ht="15" customHeight="1">
      <c r="A7" s="601">
        <v>2</v>
      </c>
      <c r="B7" s="657">
        <f t="shared" ref="B7:B13" si="3">1/8.5</f>
        <v>0.11764705882352941</v>
      </c>
      <c r="C7" s="599">
        <v>100</v>
      </c>
      <c r="D7" s="129">
        <f t="shared" si="0"/>
        <v>5.5</v>
      </c>
      <c r="E7" s="657">
        <f t="shared" si="1"/>
        <v>0.11764705882352941</v>
      </c>
      <c r="F7" s="599">
        <v>100</v>
      </c>
      <c r="G7" s="129">
        <f t="shared" si="2"/>
        <v>5.5</v>
      </c>
      <c r="H7" s="657">
        <f>1/8.5</f>
        <v>0.11764705882352941</v>
      </c>
      <c r="I7" s="599">
        <v>100</v>
      </c>
      <c r="J7" s="404">
        <f>+I7*BaitCost*0.01</f>
        <v>5.5</v>
      </c>
    </row>
    <row r="8" spans="1:10" ht="15" customHeight="1">
      <c r="A8" s="601">
        <v>3</v>
      </c>
      <c r="B8" s="657">
        <f t="shared" si="3"/>
        <v>0.11764705882352941</v>
      </c>
      <c r="C8" s="599">
        <v>100</v>
      </c>
      <c r="D8" s="129">
        <f t="shared" si="0"/>
        <v>5.5</v>
      </c>
      <c r="E8" s="657">
        <f t="shared" si="1"/>
        <v>0.11764705882352941</v>
      </c>
      <c r="F8" s="599">
        <v>100</v>
      </c>
      <c r="G8" s="129">
        <f t="shared" si="2"/>
        <v>5.5</v>
      </c>
      <c r="H8" s="657">
        <f>1/8.5</f>
        <v>0.11764705882352941</v>
      </c>
      <c r="I8" s="599">
        <v>100</v>
      </c>
      <c r="J8" s="404">
        <f>+I8*BaitCost*0.01</f>
        <v>5.5</v>
      </c>
    </row>
    <row r="9" spans="1:10" ht="15" customHeight="1">
      <c r="A9" s="601">
        <v>4</v>
      </c>
      <c r="B9" s="657">
        <f t="shared" si="3"/>
        <v>0.11764705882352941</v>
      </c>
      <c r="C9" s="599">
        <v>100</v>
      </c>
      <c r="D9" s="129">
        <f t="shared" si="0"/>
        <v>5.5</v>
      </c>
      <c r="E9" s="657">
        <f t="shared" si="1"/>
        <v>0.11764705882352941</v>
      </c>
      <c r="F9" s="599">
        <v>100</v>
      </c>
      <c r="G9" s="129">
        <f t="shared" si="2"/>
        <v>5.5</v>
      </c>
      <c r="H9" s="657">
        <f>1/8.5</f>
        <v>0.11764705882352941</v>
      </c>
      <c r="I9" s="599">
        <f>+I8</f>
        <v>100</v>
      </c>
      <c r="J9" s="404">
        <f>+I9*BaitCost*0.01</f>
        <v>5.5</v>
      </c>
    </row>
    <row r="10" spans="1:10" ht="15" customHeight="1">
      <c r="A10" s="601">
        <v>5</v>
      </c>
      <c r="B10" s="657">
        <f t="shared" si="3"/>
        <v>0.11764705882352941</v>
      </c>
      <c r="C10" s="599">
        <f>+C9</f>
        <v>100</v>
      </c>
      <c r="D10" s="129">
        <f t="shared" si="0"/>
        <v>5.5</v>
      </c>
      <c r="E10" s="657">
        <f t="shared" si="1"/>
        <v>0.11764705882352941</v>
      </c>
      <c r="F10" s="599">
        <f>+F9</f>
        <v>100</v>
      </c>
      <c r="G10" s="129">
        <f t="shared" si="2"/>
        <v>5.5</v>
      </c>
      <c r="H10" s="599"/>
      <c r="I10" s="599"/>
      <c r="J10" s="605"/>
    </row>
    <row r="11" spans="1:10" ht="15" customHeight="1">
      <c r="A11" s="601">
        <v>6</v>
      </c>
      <c r="B11" s="657">
        <f t="shared" si="3"/>
        <v>0.11764705882352941</v>
      </c>
      <c r="C11" s="599">
        <f>+C10</f>
        <v>100</v>
      </c>
      <c r="D11" s="129">
        <f t="shared" si="0"/>
        <v>5.5</v>
      </c>
      <c r="E11" s="657">
        <f t="shared" si="1"/>
        <v>0.11764705882352941</v>
      </c>
      <c r="F11" s="599">
        <f>+F10</f>
        <v>100</v>
      </c>
      <c r="G11" s="129">
        <f t="shared" si="2"/>
        <v>5.5</v>
      </c>
      <c r="H11" s="599"/>
      <c r="I11" s="599"/>
      <c r="J11" s="605"/>
    </row>
    <row r="12" spans="1:10" ht="15" customHeight="1">
      <c r="A12" s="601">
        <v>7</v>
      </c>
      <c r="B12" s="657">
        <f t="shared" si="3"/>
        <v>0.11764705882352941</v>
      </c>
      <c r="C12" s="599">
        <f>+C11</f>
        <v>100</v>
      </c>
      <c r="D12" s="129">
        <f t="shared" si="0"/>
        <v>5.5</v>
      </c>
      <c r="E12" s="599"/>
      <c r="F12" s="599"/>
      <c r="G12" s="129"/>
      <c r="H12" s="599"/>
      <c r="I12" s="599"/>
      <c r="J12" s="605"/>
    </row>
    <row r="13" spans="1:10" ht="15" customHeight="1">
      <c r="A13" s="601">
        <v>8</v>
      </c>
      <c r="B13" s="657">
        <f t="shared" si="3"/>
        <v>0.11764705882352941</v>
      </c>
      <c r="C13" s="599">
        <f>+C12</f>
        <v>100</v>
      </c>
      <c r="D13" s="129">
        <f t="shared" si="0"/>
        <v>5.5</v>
      </c>
      <c r="E13" s="599"/>
      <c r="F13" s="599"/>
      <c r="G13" s="129"/>
      <c r="H13" s="603"/>
      <c r="I13" s="603"/>
      <c r="J13" s="605"/>
    </row>
    <row r="14" spans="1:10" ht="15" customHeight="1">
      <c r="A14" s="658"/>
      <c r="B14" s="609"/>
      <c r="C14" s="609"/>
      <c r="D14" s="609"/>
      <c r="E14" s="609"/>
      <c r="F14" s="609"/>
      <c r="G14" s="609"/>
      <c r="H14" s="609"/>
      <c r="I14" s="609"/>
      <c r="J14" s="610"/>
    </row>
    <row r="15" spans="1:10" ht="15" customHeight="1">
      <c r="A15" s="659"/>
      <c r="B15" s="638"/>
      <c r="C15" s="638"/>
      <c r="D15" s="638"/>
      <c r="E15" s="638"/>
      <c r="F15" s="638"/>
      <c r="G15" s="638" t="s">
        <v>364</v>
      </c>
      <c r="H15" s="638"/>
      <c r="I15" s="638"/>
      <c r="J15" s="660"/>
    </row>
    <row r="16" spans="1:10" ht="15" customHeight="1">
      <c r="A16" s="604" t="s">
        <v>170</v>
      </c>
      <c r="B16" s="603"/>
      <c r="C16" s="603"/>
      <c r="D16" s="603"/>
      <c r="E16" s="603"/>
      <c r="F16" s="603"/>
      <c r="G16" s="603"/>
      <c r="H16" s="603"/>
      <c r="I16" s="603"/>
      <c r="J16" s="605"/>
    </row>
    <row r="17" spans="1:10" ht="15" customHeight="1">
      <c r="A17" s="604"/>
      <c r="B17" s="603"/>
      <c r="C17" s="603"/>
      <c r="D17" s="603"/>
      <c r="E17" s="603"/>
      <c r="F17" s="599" t="s">
        <v>171</v>
      </c>
      <c r="G17" s="599" t="s">
        <v>172</v>
      </c>
      <c r="H17" s="599" t="s">
        <v>173</v>
      </c>
      <c r="I17" s="603"/>
      <c r="J17" s="605"/>
    </row>
    <row r="18" spans="1:10" ht="15" customHeight="1">
      <c r="A18" s="604"/>
      <c r="B18" s="603" t="s">
        <v>174</v>
      </c>
      <c r="C18" s="603"/>
      <c r="D18" s="603"/>
      <c r="E18" s="603" t="s">
        <v>175</v>
      </c>
      <c r="F18" s="603">
        <v>0.55000000000000004</v>
      </c>
      <c r="G18" s="603">
        <v>10</v>
      </c>
      <c r="H18" s="129">
        <f>+G18*F18</f>
        <v>5.5</v>
      </c>
      <c r="I18" s="603"/>
      <c r="J18" s="605"/>
    </row>
    <row r="19" spans="1:10" ht="15" customHeight="1">
      <c r="A19" s="606"/>
      <c r="B19" s="661" t="s">
        <v>367</v>
      </c>
      <c r="C19" s="661"/>
      <c r="D19" s="661"/>
      <c r="E19" s="661" t="s">
        <v>366</v>
      </c>
      <c r="F19" s="661"/>
      <c r="G19" s="661"/>
      <c r="H19" s="661"/>
      <c r="I19" s="661"/>
      <c r="J19" s="607"/>
    </row>
    <row r="20" spans="1:10" ht="22.5" customHeight="1">
      <c r="A20" s="651" t="s">
        <v>176</v>
      </c>
      <c r="B20" s="413"/>
      <c r="C20" s="413"/>
      <c r="D20" s="413"/>
      <c r="E20" s="413"/>
      <c r="F20" s="413"/>
      <c r="G20" s="413"/>
      <c r="H20" s="413"/>
      <c r="I20" s="413"/>
      <c r="J20" s="612"/>
    </row>
    <row r="21" spans="1:10" s="655" customFormat="1" ht="15" customHeight="1">
      <c r="A21" s="652"/>
      <c r="B21" s="653"/>
      <c r="C21" s="653"/>
      <c r="D21" s="653"/>
      <c r="E21" s="653"/>
      <c r="F21" s="653"/>
      <c r="G21" s="653"/>
      <c r="H21" s="653"/>
      <c r="I21" s="653"/>
      <c r="J21" s="654"/>
    </row>
    <row r="22" spans="1:10" ht="15" customHeight="1">
      <c r="A22" s="604" t="s">
        <v>177</v>
      </c>
      <c r="B22" s="603"/>
      <c r="C22" s="603"/>
      <c r="D22" s="603" t="s">
        <v>178</v>
      </c>
      <c r="E22" s="603" t="s">
        <v>363</v>
      </c>
      <c r="F22" s="603"/>
      <c r="G22" s="603" t="s">
        <v>365</v>
      </c>
      <c r="H22" s="603"/>
      <c r="I22" s="603"/>
      <c r="J22" s="605"/>
    </row>
    <row r="23" spans="1:10" ht="15" customHeight="1">
      <c r="A23" s="604"/>
      <c r="B23" s="662" t="s">
        <v>19</v>
      </c>
      <c r="C23" s="662"/>
      <c r="D23" s="663">
        <v>0.05</v>
      </c>
      <c r="E23" s="603" t="s">
        <v>368</v>
      </c>
      <c r="F23" s="603"/>
      <c r="G23" s="603" t="s">
        <v>369</v>
      </c>
      <c r="H23" s="603"/>
      <c r="I23" s="603"/>
      <c r="J23" s="605"/>
    </row>
    <row r="24" spans="1:10" ht="15" customHeight="1">
      <c r="A24" s="604"/>
      <c r="B24" s="662" t="s">
        <v>20</v>
      </c>
      <c r="C24" s="603"/>
      <c r="D24" s="663">
        <v>0.04</v>
      </c>
      <c r="E24" s="603"/>
      <c r="F24" s="603"/>
      <c r="G24" s="603"/>
      <c r="H24" s="603"/>
      <c r="I24" s="603"/>
      <c r="J24" s="605"/>
    </row>
    <row r="25" spans="1:10" ht="15" customHeight="1">
      <c r="A25" s="604"/>
      <c r="B25" s="662" t="s">
        <v>338</v>
      </c>
      <c r="C25" s="603"/>
      <c r="D25" s="663">
        <v>0.03</v>
      </c>
      <c r="E25" s="603"/>
      <c r="F25" s="603"/>
      <c r="G25" s="603"/>
      <c r="H25" s="603"/>
      <c r="I25" s="603"/>
      <c r="J25" s="605"/>
    </row>
    <row r="26" spans="1:10" ht="15" customHeight="1">
      <c r="A26" s="613"/>
      <c r="B26" s="609"/>
      <c r="C26" s="609"/>
      <c r="D26" s="609"/>
      <c r="E26" s="609"/>
      <c r="F26" s="609"/>
      <c r="G26" s="609"/>
      <c r="H26" s="609"/>
      <c r="I26" s="609"/>
      <c r="J26" s="610"/>
    </row>
    <row r="27" spans="1:10" ht="22.5" customHeight="1">
      <c r="A27" s="664" t="s">
        <v>683</v>
      </c>
      <c r="B27" s="665"/>
      <c r="C27" s="665"/>
      <c r="D27" s="665"/>
      <c r="E27" s="665"/>
      <c r="F27" s="665"/>
      <c r="G27" s="665"/>
      <c r="H27" s="665"/>
      <c r="I27" s="665"/>
      <c r="J27" s="666"/>
    </row>
    <row r="28" spans="1:10" ht="15" customHeight="1">
      <c r="A28" s="611" t="s">
        <v>404</v>
      </c>
      <c r="B28" s="413"/>
      <c r="C28" s="413">
        <v>3.2</v>
      </c>
      <c r="D28" s="413" t="s">
        <v>263</v>
      </c>
      <c r="E28" s="413"/>
      <c r="F28" s="413"/>
      <c r="G28" s="413"/>
      <c r="H28" s="413"/>
      <c r="I28" s="413"/>
      <c r="J28" s="612"/>
    </row>
    <row r="29" spans="1:10" ht="15" customHeight="1">
      <c r="A29" s="604"/>
      <c r="B29" s="603"/>
      <c r="C29" s="603">
        <v>40</v>
      </c>
      <c r="D29" s="603" t="s">
        <v>405</v>
      </c>
      <c r="E29" s="603"/>
      <c r="F29" s="603"/>
      <c r="G29" s="603"/>
      <c r="H29" s="603"/>
      <c r="I29" s="603"/>
      <c r="J29" s="605"/>
    </row>
    <row r="30" spans="1:10" ht="15" customHeight="1">
      <c r="A30" s="604"/>
      <c r="B30" s="603"/>
      <c r="C30" s="603">
        <v>5280</v>
      </c>
      <c r="D30" s="603" t="s">
        <v>406</v>
      </c>
      <c r="E30" s="603"/>
      <c r="F30" s="603"/>
      <c r="G30" s="603"/>
      <c r="H30" s="603"/>
      <c r="I30" s="603"/>
      <c r="J30" s="605"/>
    </row>
    <row r="31" spans="1:10" ht="15" customHeight="1">
      <c r="A31" s="604"/>
      <c r="B31" s="603"/>
      <c r="C31" s="603">
        <f>+C28*C30</f>
        <v>16896</v>
      </c>
      <c r="D31" s="603" t="s">
        <v>407</v>
      </c>
      <c r="E31" s="603"/>
      <c r="F31" s="603"/>
      <c r="G31" s="603">
        <f>+C31/C29</f>
        <v>422.4</v>
      </c>
      <c r="H31" s="603" t="s">
        <v>409</v>
      </c>
      <c r="I31" s="603">
        <v>15</v>
      </c>
      <c r="J31" s="605">
        <f>+G31/I31</f>
        <v>28.16</v>
      </c>
    </row>
    <row r="32" spans="1:10" ht="15" customHeight="1">
      <c r="A32" s="606"/>
      <c r="B32" s="661"/>
      <c r="C32" s="661">
        <v>3</v>
      </c>
      <c r="D32" s="661" t="s">
        <v>408</v>
      </c>
      <c r="E32" s="661"/>
      <c r="F32" s="661"/>
      <c r="G32" s="661"/>
      <c r="H32" s="661"/>
      <c r="I32" s="661"/>
      <c r="J32" s="607"/>
    </row>
  </sheetData>
  <mergeCells count="1">
    <mergeCell ref="A1:J1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H15" sqref="H15"/>
    </sheetView>
  </sheetViews>
  <sheetFormatPr defaultRowHeight="12.75"/>
  <cols>
    <col min="1" max="1" width="21.7109375" style="134" customWidth="1"/>
    <col min="2" max="10" width="8" style="134" customWidth="1"/>
    <col min="11" max="11" width="9.140625" style="135"/>
    <col min="12" max="14" width="9" style="135" customWidth="1"/>
    <col min="15" max="16384" width="9.140625" style="135"/>
  </cols>
  <sheetData>
    <row r="1" spans="1:10" ht="20.25">
      <c r="A1" s="1324" t="s">
        <v>256</v>
      </c>
      <c r="B1" s="1325"/>
      <c r="C1" s="1325"/>
      <c r="D1" s="1325"/>
      <c r="E1" s="1325"/>
      <c r="F1" s="1325"/>
      <c r="G1" s="1325"/>
      <c r="H1" s="1325"/>
      <c r="I1" s="1325"/>
      <c r="J1" s="1326"/>
    </row>
    <row r="2" spans="1:10">
      <c r="A2" s="432"/>
      <c r="B2" s="1330" t="s">
        <v>19</v>
      </c>
      <c r="C2" s="1331"/>
      <c r="D2" s="365"/>
      <c r="E2" s="1330" t="s">
        <v>20</v>
      </c>
      <c r="F2" s="1331"/>
      <c r="G2" s="365"/>
      <c r="H2" s="1330" t="s">
        <v>338</v>
      </c>
      <c r="I2" s="1331"/>
      <c r="J2" s="427"/>
    </row>
    <row r="3" spans="1:10">
      <c r="A3" s="426" t="s">
        <v>252</v>
      </c>
      <c r="B3" s="428">
        <v>0</v>
      </c>
      <c r="C3" s="429"/>
      <c r="D3" s="429"/>
      <c r="E3" s="428">
        <f>+J22</f>
        <v>1300.4153714285717</v>
      </c>
      <c r="F3" s="429"/>
      <c r="G3" s="430"/>
      <c r="H3" s="428">
        <f>+J39</f>
        <v>2136.7800476190482</v>
      </c>
      <c r="I3" s="430"/>
      <c r="J3" s="431"/>
    </row>
    <row r="4" spans="1:10">
      <c r="A4" s="433" t="s">
        <v>386</v>
      </c>
      <c r="B4" s="434">
        <f>+B3/CLTree</f>
        <v>0</v>
      </c>
      <c r="C4" s="435"/>
      <c r="D4" s="435"/>
      <c r="E4" s="434">
        <f>+E3/VATree</f>
        <v>2.0897400367309462</v>
      </c>
      <c r="F4" s="435"/>
      <c r="G4" s="436"/>
      <c r="H4" s="437">
        <f>+H3/SSTree</f>
        <v>1.7659339236521059</v>
      </c>
      <c r="I4" s="436"/>
      <c r="J4" s="438"/>
    </row>
    <row r="5" spans="1:10" ht="20.25" customHeight="1">
      <c r="A5" s="1332" t="s">
        <v>257</v>
      </c>
      <c r="B5" s="1333"/>
      <c r="C5" s="1333"/>
      <c r="D5" s="1333"/>
      <c r="E5" s="1333"/>
      <c r="F5" s="1333"/>
      <c r="G5" s="1333"/>
      <c r="H5" s="1333"/>
      <c r="I5" s="1333"/>
      <c r="J5" s="1334"/>
    </row>
    <row r="6" spans="1:10" ht="25.5">
      <c r="A6" s="1335" t="s">
        <v>258</v>
      </c>
      <c r="B6" s="1336"/>
      <c r="C6" s="1336"/>
      <c r="D6" s="1336"/>
      <c r="E6" s="1336"/>
      <c r="F6" s="1336"/>
      <c r="G6" s="1336"/>
      <c r="H6" s="1336"/>
      <c r="I6" s="1337"/>
      <c r="J6" s="171" t="s">
        <v>379</v>
      </c>
    </row>
    <row r="7" spans="1:10" s="1" customFormat="1">
      <c r="A7" s="925" t="s">
        <v>270</v>
      </c>
      <c r="B7" s="925" t="s">
        <v>260</v>
      </c>
      <c r="C7" s="1294"/>
      <c r="D7" s="1294" t="s">
        <v>259</v>
      </c>
      <c r="E7" s="1294"/>
      <c r="F7" s="1294" t="s">
        <v>260</v>
      </c>
      <c r="G7" s="1294"/>
      <c r="H7" s="1294" t="s">
        <v>52</v>
      </c>
      <c r="I7" s="1294"/>
      <c r="J7" s="1295">
        <f>+D8</f>
        <v>6.2228571428571433</v>
      </c>
    </row>
    <row r="8" spans="1:10">
      <c r="A8" s="426" t="s">
        <v>385</v>
      </c>
      <c r="B8" s="669">
        <f>+'Factors &amp; Yield'!E20/50+1</f>
        <v>11</v>
      </c>
      <c r="C8" s="670" t="s">
        <v>261</v>
      </c>
      <c r="D8" s="671">
        <f>+VARow</f>
        <v>6.2228571428571433</v>
      </c>
      <c r="E8" s="671" t="s">
        <v>377</v>
      </c>
      <c r="F8" s="671">
        <f>+B8*D8</f>
        <v>68.451428571428579</v>
      </c>
      <c r="G8" s="672" t="s">
        <v>381</v>
      </c>
      <c r="H8" s="672">
        <v>12.5</v>
      </c>
      <c r="I8" s="672" t="s">
        <v>265</v>
      </c>
      <c r="J8" s="673">
        <f>+F8*H8</f>
        <v>855.64285714285722</v>
      </c>
    </row>
    <row r="9" spans="1:10" ht="25.5">
      <c r="A9" s="674"/>
      <c r="B9" s="675"/>
      <c r="C9" s="675" t="s">
        <v>384</v>
      </c>
      <c r="D9" s="676"/>
      <c r="E9" s="676"/>
      <c r="F9" s="676"/>
      <c r="G9" s="677"/>
      <c r="H9" s="677"/>
      <c r="I9" s="677"/>
      <c r="J9" s="678"/>
    </row>
    <row r="10" spans="1:10">
      <c r="A10" s="674" t="s">
        <v>370</v>
      </c>
      <c r="B10" s="675">
        <v>2</v>
      </c>
      <c r="C10" s="675" t="s">
        <v>261</v>
      </c>
      <c r="D10" s="676">
        <f>+VARow</f>
        <v>6.2228571428571433</v>
      </c>
      <c r="E10" s="676" t="s">
        <v>377</v>
      </c>
      <c r="F10" s="676">
        <f>+B10*D10</f>
        <v>12.445714285714287</v>
      </c>
      <c r="G10" s="675" t="s">
        <v>382</v>
      </c>
      <c r="H10" s="675">
        <v>8.6</v>
      </c>
      <c r="I10" s="677" t="s">
        <v>265</v>
      </c>
      <c r="J10" s="678">
        <f>+H10*B10</f>
        <v>17.2</v>
      </c>
    </row>
    <row r="11" spans="1:10">
      <c r="A11" s="674"/>
      <c r="B11" s="675"/>
      <c r="C11" s="675"/>
      <c r="D11" s="675"/>
      <c r="E11" s="675"/>
      <c r="F11" s="675"/>
      <c r="G11" s="675"/>
      <c r="H11" s="675"/>
      <c r="I11" s="675"/>
      <c r="J11" s="678"/>
    </row>
    <row r="12" spans="1:10" ht="25.5">
      <c r="A12" s="674" t="s">
        <v>262</v>
      </c>
      <c r="B12" s="679">
        <v>3</v>
      </c>
      <c r="C12" s="675" t="s">
        <v>261</v>
      </c>
      <c r="D12" s="676">
        <f>+'Factors &amp; Yield'!E20</f>
        <v>500</v>
      </c>
      <c r="E12" s="676" t="s">
        <v>378</v>
      </c>
      <c r="F12" s="679">
        <f>+D12*B12*D10</f>
        <v>9334.2857142857156</v>
      </c>
      <c r="G12" s="680" t="s">
        <v>380</v>
      </c>
      <c r="H12" s="675">
        <f>104/4000</f>
        <v>2.5999999999999999E-2</v>
      </c>
      <c r="I12" s="675" t="s">
        <v>376</v>
      </c>
      <c r="J12" s="678">
        <f>+F12*H12</f>
        <v>242.69142857142859</v>
      </c>
    </row>
    <row r="13" spans="1:10">
      <c r="A13" s="674"/>
      <c r="B13" s="679"/>
      <c r="C13" s="675"/>
      <c r="D13" s="675"/>
      <c r="E13" s="675"/>
      <c r="F13" s="675"/>
      <c r="G13" s="675"/>
      <c r="H13" s="675"/>
      <c r="I13" s="675"/>
      <c r="J13" s="678"/>
    </row>
    <row r="14" spans="1:10">
      <c r="A14" s="674" t="s">
        <v>264</v>
      </c>
      <c r="B14" s="679">
        <v>3</v>
      </c>
      <c r="C14" s="675" t="s">
        <v>261</v>
      </c>
      <c r="D14" s="676">
        <f>+VARow</f>
        <v>6.2228571428571433</v>
      </c>
      <c r="E14" s="676" t="s">
        <v>377</v>
      </c>
      <c r="F14" s="681">
        <f>+B14*D14</f>
        <v>18.668571428571429</v>
      </c>
      <c r="G14" s="675" t="s">
        <v>265</v>
      </c>
      <c r="H14" s="675">
        <v>2.0699999999999998</v>
      </c>
      <c r="I14" s="677" t="s">
        <v>265</v>
      </c>
      <c r="J14" s="678">
        <f>+F14*H14</f>
        <v>38.643942857142854</v>
      </c>
    </row>
    <row r="15" spans="1:10">
      <c r="A15" s="674"/>
      <c r="B15" s="675"/>
      <c r="C15" s="675"/>
      <c r="D15" s="675"/>
      <c r="E15" s="675"/>
      <c r="F15" s="681"/>
      <c r="G15" s="675"/>
      <c r="H15" s="675"/>
      <c r="I15" s="675"/>
      <c r="J15" s="678"/>
    </row>
    <row r="16" spans="1:10">
      <c r="A16" s="674" t="s">
        <v>374</v>
      </c>
      <c r="B16" s="679">
        <v>2</v>
      </c>
      <c r="C16" s="675" t="s">
        <v>261</v>
      </c>
      <c r="D16" s="676">
        <f>+VARow</f>
        <v>6.2228571428571433</v>
      </c>
      <c r="E16" s="676" t="s">
        <v>377</v>
      </c>
      <c r="F16" s="681">
        <f>+B16*D16</f>
        <v>12.445714285714287</v>
      </c>
      <c r="G16" s="675" t="s">
        <v>265</v>
      </c>
      <c r="H16" s="677">
        <v>1.25</v>
      </c>
      <c r="I16" s="677" t="s">
        <v>265</v>
      </c>
      <c r="J16" s="678">
        <f>+F16*H16</f>
        <v>15.557142857142859</v>
      </c>
    </row>
    <row r="17" spans="1:10">
      <c r="A17" s="674"/>
      <c r="B17" s="679"/>
      <c r="C17" s="675"/>
      <c r="D17" s="676"/>
      <c r="E17" s="676"/>
      <c r="F17" s="681"/>
      <c r="G17" s="675"/>
      <c r="H17" s="677"/>
      <c r="I17" s="677"/>
      <c r="J17" s="678"/>
    </row>
    <row r="18" spans="1:10">
      <c r="A18" s="674" t="s">
        <v>375</v>
      </c>
      <c r="B18" s="679">
        <f>+B12*3</f>
        <v>9</v>
      </c>
      <c r="C18" s="675" t="s">
        <v>261</v>
      </c>
      <c r="D18" s="676">
        <f>+VARow</f>
        <v>6.2228571428571433</v>
      </c>
      <c r="E18" s="676" t="s">
        <v>377</v>
      </c>
      <c r="F18" s="681">
        <f>+B18*D18</f>
        <v>56.005714285714291</v>
      </c>
      <c r="G18" s="675" t="s">
        <v>265</v>
      </c>
      <c r="H18" s="677">
        <v>0.1</v>
      </c>
      <c r="I18" s="677" t="s">
        <v>265</v>
      </c>
      <c r="J18" s="678">
        <f>+F18*H18</f>
        <v>5.6005714285714294</v>
      </c>
    </row>
    <row r="19" spans="1:10">
      <c r="A19" s="674"/>
      <c r="B19" s="675"/>
      <c r="C19" s="675"/>
      <c r="D19" s="675"/>
      <c r="E19" s="675"/>
      <c r="F19" s="681"/>
      <c r="G19" s="675"/>
      <c r="H19" s="675"/>
      <c r="I19" s="675"/>
      <c r="J19" s="678"/>
    </row>
    <row r="20" spans="1:10" ht="25.5">
      <c r="A20" s="433" t="s">
        <v>266</v>
      </c>
      <c r="B20" s="682">
        <f>+B12</f>
        <v>3</v>
      </c>
      <c r="C20" s="683" t="s">
        <v>268</v>
      </c>
      <c r="D20" s="682">
        <f>+VATree</f>
        <v>622.28571428571433</v>
      </c>
      <c r="E20" s="682" t="s">
        <v>383</v>
      </c>
      <c r="F20" s="684">
        <f>+B20*D20</f>
        <v>1866.8571428571431</v>
      </c>
      <c r="G20" s="683" t="str">
        <f>+G18</f>
        <v>each</v>
      </c>
      <c r="H20" s="683">
        <v>6.7000000000000004E-2</v>
      </c>
      <c r="I20" s="685" t="s">
        <v>376</v>
      </c>
      <c r="J20" s="686">
        <f>+F20*H20</f>
        <v>125.07942857142859</v>
      </c>
    </row>
    <row r="21" spans="1:10">
      <c r="A21" s="687"/>
      <c r="B21" s="688"/>
      <c r="C21" s="688"/>
      <c r="D21" s="688"/>
      <c r="E21" s="688"/>
      <c r="F21" s="688"/>
      <c r="G21" s="688"/>
      <c r="H21" s="688"/>
      <c r="I21" s="688"/>
      <c r="J21" s="689"/>
    </row>
    <row r="22" spans="1:10">
      <c r="A22" s="424" t="s">
        <v>267</v>
      </c>
      <c r="B22" s="425"/>
      <c r="C22" s="425"/>
      <c r="D22" s="425"/>
      <c r="E22" s="425"/>
      <c r="F22" s="425"/>
      <c r="G22" s="425"/>
      <c r="H22" s="425"/>
      <c r="I22" s="425"/>
      <c r="J22" s="439">
        <f>SUM(J8:J21)</f>
        <v>1300.4153714285717</v>
      </c>
    </row>
    <row r="23" spans="1:10" ht="25.5">
      <c r="A23" s="1327" t="s">
        <v>359</v>
      </c>
      <c r="B23" s="1328"/>
      <c r="C23" s="1328"/>
      <c r="D23" s="1328"/>
      <c r="E23" s="1328"/>
      <c r="F23" s="1328"/>
      <c r="G23" s="1328"/>
      <c r="H23" s="1328"/>
      <c r="I23" s="1329"/>
      <c r="J23" s="440" t="s">
        <v>379</v>
      </c>
    </row>
    <row r="24" spans="1:10" s="27" customFormat="1">
      <c r="A24" s="171" t="s">
        <v>270</v>
      </c>
      <c r="B24" s="171" t="s">
        <v>270</v>
      </c>
      <c r="C24" s="171"/>
      <c r="D24" s="171" t="s">
        <v>259</v>
      </c>
      <c r="E24" s="171"/>
      <c r="F24" s="171" t="s">
        <v>260</v>
      </c>
      <c r="G24" s="171"/>
      <c r="H24" s="171" t="s">
        <v>52</v>
      </c>
      <c r="I24" s="171"/>
      <c r="J24" s="690">
        <f>+D25</f>
        <v>7.2600000000000007</v>
      </c>
    </row>
    <row r="25" spans="1:10">
      <c r="A25" s="426" t="s">
        <v>385</v>
      </c>
      <c r="B25" s="671">
        <f>+'Factors &amp; Yield'!F20/45+1</f>
        <v>12.111111111111111</v>
      </c>
      <c r="C25" s="670" t="s">
        <v>261</v>
      </c>
      <c r="D25" s="671">
        <f>+SSRow</f>
        <v>7.2600000000000007</v>
      </c>
      <c r="E25" s="671" t="s">
        <v>377</v>
      </c>
      <c r="F25" s="671">
        <f>+B25*D25</f>
        <v>87.926666666666677</v>
      </c>
      <c r="G25" s="672" t="s">
        <v>381</v>
      </c>
      <c r="H25" s="672">
        <v>12.5</v>
      </c>
      <c r="I25" s="672" t="s">
        <v>265</v>
      </c>
      <c r="J25" s="673">
        <f>+F25*H25</f>
        <v>1099.0833333333335</v>
      </c>
    </row>
    <row r="26" spans="1:10" ht="25.5">
      <c r="A26" s="674"/>
      <c r="B26" s="675"/>
      <c r="C26" s="675" t="s">
        <v>384</v>
      </c>
      <c r="D26" s="676"/>
      <c r="E26" s="676"/>
      <c r="F26" s="676"/>
      <c r="G26" s="677"/>
      <c r="H26" s="677"/>
      <c r="I26" s="677"/>
      <c r="J26" s="678"/>
    </row>
    <row r="27" spans="1:10">
      <c r="A27" s="674" t="s">
        <v>370</v>
      </c>
      <c r="B27" s="675">
        <v>2</v>
      </c>
      <c r="C27" s="675" t="s">
        <v>261</v>
      </c>
      <c r="D27" s="676">
        <f>+SSRow</f>
        <v>7.2600000000000007</v>
      </c>
      <c r="E27" s="676" t="s">
        <v>377</v>
      </c>
      <c r="F27" s="676">
        <f>+B27*D27</f>
        <v>14.520000000000001</v>
      </c>
      <c r="G27" s="675" t="s">
        <v>382</v>
      </c>
      <c r="H27" s="675">
        <v>8.6</v>
      </c>
      <c r="I27" s="677" t="s">
        <v>265</v>
      </c>
      <c r="J27" s="678">
        <f>+H27*B27</f>
        <v>17.2</v>
      </c>
    </row>
    <row r="28" spans="1:10">
      <c r="A28" s="674"/>
      <c r="B28" s="675"/>
      <c r="C28" s="675"/>
      <c r="D28" s="675"/>
      <c r="E28" s="675"/>
      <c r="F28" s="675"/>
      <c r="G28" s="675"/>
      <c r="H28" s="675"/>
      <c r="I28" s="675"/>
      <c r="J28" s="678"/>
    </row>
    <row r="29" spans="1:10" ht="25.5">
      <c r="A29" s="674" t="s">
        <v>262</v>
      </c>
      <c r="B29" s="679">
        <v>5</v>
      </c>
      <c r="C29" s="675" t="s">
        <v>261</v>
      </c>
      <c r="D29" s="676">
        <f>+'Factors &amp; Yield'!D50</f>
        <v>750</v>
      </c>
      <c r="E29" s="676" t="s">
        <v>378</v>
      </c>
      <c r="F29" s="679">
        <f>+D29*B29*D27</f>
        <v>27225.000000000004</v>
      </c>
      <c r="G29" s="680" t="s">
        <v>380</v>
      </c>
      <c r="H29" s="675">
        <f>104/4000</f>
        <v>2.5999999999999999E-2</v>
      </c>
      <c r="I29" s="675" t="s">
        <v>376</v>
      </c>
      <c r="J29" s="678">
        <f>+F29*H29</f>
        <v>707.85</v>
      </c>
    </row>
    <row r="30" spans="1:10">
      <c r="A30" s="674"/>
      <c r="B30" s="679"/>
      <c r="C30" s="675"/>
      <c r="D30" s="675"/>
      <c r="E30" s="675"/>
      <c r="F30" s="675"/>
      <c r="G30" s="675"/>
      <c r="H30" s="675"/>
      <c r="I30" s="675"/>
      <c r="J30" s="678"/>
    </row>
    <row r="31" spans="1:10">
      <c r="A31" s="674" t="s">
        <v>264</v>
      </c>
      <c r="B31" s="679">
        <v>5</v>
      </c>
      <c r="C31" s="675" t="s">
        <v>261</v>
      </c>
      <c r="D31" s="676">
        <f>+SSRow</f>
        <v>7.2600000000000007</v>
      </c>
      <c r="E31" s="676" t="s">
        <v>377</v>
      </c>
      <c r="F31" s="681">
        <f>+B31*D31</f>
        <v>36.300000000000004</v>
      </c>
      <c r="G31" s="675" t="s">
        <v>265</v>
      </c>
      <c r="H31" s="675">
        <v>2.0699999999999998</v>
      </c>
      <c r="I31" s="677" t="s">
        <v>265</v>
      </c>
      <c r="J31" s="678">
        <f>+F31*H31</f>
        <v>75.141000000000005</v>
      </c>
    </row>
    <row r="32" spans="1:10">
      <c r="A32" s="674"/>
      <c r="B32" s="675"/>
      <c r="C32" s="675"/>
      <c r="D32" s="675"/>
      <c r="E32" s="675"/>
      <c r="F32" s="681"/>
      <c r="G32" s="675"/>
      <c r="H32" s="675"/>
      <c r="I32" s="675"/>
      <c r="J32" s="678"/>
    </row>
    <row r="33" spans="1:10">
      <c r="A33" s="674" t="s">
        <v>374</v>
      </c>
      <c r="B33" s="679">
        <v>2</v>
      </c>
      <c r="C33" s="675" t="s">
        <v>261</v>
      </c>
      <c r="D33" s="676">
        <f>+SSRow</f>
        <v>7.2600000000000007</v>
      </c>
      <c r="E33" s="676" t="s">
        <v>377</v>
      </c>
      <c r="F33" s="681">
        <f>+B33*D33</f>
        <v>14.520000000000001</v>
      </c>
      <c r="G33" s="675" t="s">
        <v>265</v>
      </c>
      <c r="H33" s="677">
        <v>1.25</v>
      </c>
      <c r="I33" s="677" t="s">
        <v>265</v>
      </c>
      <c r="J33" s="678">
        <f>+F33*H33</f>
        <v>18.150000000000002</v>
      </c>
    </row>
    <row r="34" spans="1:10">
      <c r="A34" s="674"/>
      <c r="B34" s="679"/>
      <c r="C34" s="675"/>
      <c r="D34" s="676"/>
      <c r="E34" s="676"/>
      <c r="F34" s="681"/>
      <c r="G34" s="675"/>
      <c r="H34" s="677"/>
      <c r="I34" s="677"/>
      <c r="J34" s="678"/>
    </row>
    <row r="35" spans="1:10">
      <c r="A35" s="674" t="s">
        <v>375</v>
      </c>
      <c r="B35" s="679">
        <f>+B29*3</f>
        <v>15</v>
      </c>
      <c r="C35" s="675" t="s">
        <v>261</v>
      </c>
      <c r="D35" s="676">
        <f>+SSRow</f>
        <v>7.2600000000000007</v>
      </c>
      <c r="E35" s="676" t="s">
        <v>377</v>
      </c>
      <c r="F35" s="681">
        <f>+B35*D35</f>
        <v>108.9</v>
      </c>
      <c r="G35" s="675" t="s">
        <v>265</v>
      </c>
      <c r="H35" s="677">
        <v>0.1</v>
      </c>
      <c r="I35" s="677" t="s">
        <v>265</v>
      </c>
      <c r="J35" s="678">
        <f>+F35*H35</f>
        <v>10.89</v>
      </c>
    </row>
    <row r="36" spans="1:10">
      <c r="A36" s="674"/>
      <c r="B36" s="675"/>
      <c r="C36" s="675"/>
      <c r="D36" s="675"/>
      <c r="E36" s="675"/>
      <c r="F36" s="681"/>
      <c r="G36" s="675"/>
      <c r="H36" s="675"/>
      <c r="I36" s="675"/>
      <c r="J36" s="678"/>
    </row>
    <row r="37" spans="1:10" ht="25.5">
      <c r="A37" s="433" t="s">
        <v>266</v>
      </c>
      <c r="B37" s="682">
        <f>+B29</f>
        <v>5</v>
      </c>
      <c r="C37" s="683" t="s">
        <v>268</v>
      </c>
      <c r="D37" s="682">
        <f>+VATree</f>
        <v>622.28571428571433</v>
      </c>
      <c r="E37" s="682" t="s">
        <v>383</v>
      </c>
      <c r="F37" s="684">
        <f>+B37*D37</f>
        <v>3111.4285714285716</v>
      </c>
      <c r="G37" s="683" t="str">
        <f>+G35</f>
        <v>each</v>
      </c>
      <c r="H37" s="683">
        <v>6.7000000000000004E-2</v>
      </c>
      <c r="I37" s="685" t="s">
        <v>376</v>
      </c>
      <c r="J37" s="686">
        <f>+F37*H37</f>
        <v>208.46571428571431</v>
      </c>
    </row>
    <row r="38" spans="1:10">
      <c r="A38" s="687"/>
      <c r="B38" s="688"/>
      <c r="C38" s="688"/>
      <c r="D38" s="688"/>
      <c r="E38" s="688"/>
      <c r="F38" s="688"/>
      <c r="G38" s="688"/>
      <c r="H38" s="688"/>
      <c r="I38" s="688"/>
      <c r="J38" s="689"/>
    </row>
    <row r="39" spans="1:10">
      <c r="A39" s="424" t="s">
        <v>267</v>
      </c>
      <c r="B39" s="425"/>
      <c r="C39" s="425"/>
      <c r="D39" s="425"/>
      <c r="E39" s="425"/>
      <c r="F39" s="425"/>
      <c r="G39" s="425"/>
      <c r="H39" s="425"/>
      <c r="I39" s="425"/>
      <c r="J39" s="691">
        <f>SUM(J25:J37)</f>
        <v>2136.7800476190482</v>
      </c>
    </row>
  </sheetData>
  <mergeCells count="7">
    <mergeCell ref="A1:J1"/>
    <mergeCell ref="A23:I23"/>
    <mergeCell ref="B2:C2"/>
    <mergeCell ref="E2:F2"/>
    <mergeCell ref="H2:I2"/>
    <mergeCell ref="A5:J5"/>
    <mergeCell ref="A6:I6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H15" sqref="H15"/>
    </sheetView>
  </sheetViews>
  <sheetFormatPr defaultRowHeight="15" customHeight="1"/>
  <cols>
    <col min="1" max="7" width="13.42578125" customWidth="1"/>
    <col min="8" max="8" width="7.28515625" customWidth="1"/>
    <col min="9" max="11" width="9" customWidth="1"/>
  </cols>
  <sheetData>
    <row r="1" spans="1:8" ht="22.5" customHeight="1">
      <c r="A1" s="1306" t="s">
        <v>285</v>
      </c>
      <c r="B1" s="1307"/>
      <c r="C1" s="1307"/>
      <c r="D1" s="1307"/>
      <c r="E1" s="1307"/>
      <c r="F1" s="1307"/>
      <c r="G1" s="1308"/>
      <c r="H1" s="16"/>
    </row>
    <row r="2" spans="1:8" ht="15" customHeight="1">
      <c r="A2" s="406" t="s">
        <v>286</v>
      </c>
      <c r="B2" s="407"/>
      <c r="C2" s="407"/>
      <c r="D2" s="407"/>
      <c r="E2" s="407"/>
      <c r="F2" s="407"/>
      <c r="G2" s="408"/>
      <c r="H2" s="16"/>
    </row>
    <row r="3" spans="1:8" ht="15" customHeight="1">
      <c r="A3" s="613"/>
      <c r="B3" s="693"/>
      <c r="C3" s="693"/>
      <c r="D3" s="693"/>
      <c r="E3" s="693"/>
      <c r="F3" s="693"/>
      <c r="G3" s="694"/>
      <c r="H3" s="1"/>
    </row>
    <row r="4" spans="1:8" ht="15" customHeight="1">
      <c r="A4" s="569"/>
      <c r="B4" s="1321" t="s">
        <v>19</v>
      </c>
      <c r="C4" s="1323"/>
      <c r="D4" s="1321" t="s">
        <v>20</v>
      </c>
      <c r="E4" s="1323"/>
      <c r="F4" s="1321" t="s">
        <v>338</v>
      </c>
      <c r="G4" s="1323"/>
    </row>
    <row r="5" spans="1:8" ht="15" customHeight="1">
      <c r="A5" s="150" t="s">
        <v>30</v>
      </c>
      <c r="B5" s="150" t="s">
        <v>224</v>
      </c>
      <c r="C5" s="150" t="s">
        <v>66</v>
      </c>
      <c r="D5" s="150" t="str">
        <f t="shared" ref="D5:G6" si="0">+B5</f>
        <v>Hours</v>
      </c>
      <c r="E5" s="150" t="str">
        <f t="shared" si="0"/>
        <v>Material</v>
      </c>
      <c r="F5" s="150" t="str">
        <f t="shared" si="0"/>
        <v>Hours</v>
      </c>
      <c r="G5" s="150" t="str">
        <f t="shared" si="0"/>
        <v>Material</v>
      </c>
    </row>
    <row r="6" spans="1:8" ht="15" customHeight="1">
      <c r="A6" s="150"/>
      <c r="B6" s="150" t="s">
        <v>38</v>
      </c>
      <c r="C6" s="150" t="s">
        <v>37</v>
      </c>
      <c r="D6" s="150" t="str">
        <f t="shared" si="0"/>
        <v xml:space="preserve"> /Acre</v>
      </c>
      <c r="E6" s="150" t="str">
        <f t="shared" si="0"/>
        <v>Cost</v>
      </c>
      <c r="F6" s="150" t="str">
        <f t="shared" si="0"/>
        <v xml:space="preserve"> /Acre</v>
      </c>
      <c r="G6" s="150" t="str">
        <f t="shared" si="0"/>
        <v>Cost</v>
      </c>
    </row>
    <row r="7" spans="1:8" ht="15" customHeight="1">
      <c r="A7" s="695">
        <v>1</v>
      </c>
      <c r="B7" s="600">
        <v>5</v>
      </c>
      <c r="C7" s="696">
        <v>10</v>
      </c>
      <c r="D7" s="600">
        <v>30</v>
      </c>
      <c r="E7" s="696">
        <v>20</v>
      </c>
      <c r="F7" s="622">
        <v>150</v>
      </c>
      <c r="G7" s="641">
        <v>80</v>
      </c>
    </row>
    <row r="8" spans="1:8" ht="15" customHeight="1">
      <c r="A8" s="697">
        <v>2</v>
      </c>
      <c r="B8" s="601">
        <v>5</v>
      </c>
      <c r="C8" s="627">
        <v>10</v>
      </c>
      <c r="D8" s="601">
        <v>80</v>
      </c>
      <c r="E8" s="627">
        <v>60</v>
      </c>
      <c r="F8" s="598">
        <v>20</v>
      </c>
      <c r="G8" s="627">
        <v>10</v>
      </c>
    </row>
    <row r="9" spans="1:8" ht="15" customHeight="1">
      <c r="A9" s="697">
        <v>3</v>
      </c>
      <c r="B9" s="601">
        <v>8</v>
      </c>
      <c r="C9" s="627">
        <v>10</v>
      </c>
      <c r="D9" s="601">
        <v>60</v>
      </c>
      <c r="E9" s="627">
        <v>40</v>
      </c>
      <c r="F9" s="598">
        <v>15</v>
      </c>
      <c r="G9" s="627">
        <v>10</v>
      </c>
    </row>
    <row r="10" spans="1:8" ht="15" customHeight="1">
      <c r="A10" s="697">
        <v>4</v>
      </c>
      <c r="B10" s="601">
        <v>15</v>
      </c>
      <c r="C10" s="627">
        <v>10</v>
      </c>
      <c r="D10" s="601">
        <v>20</v>
      </c>
      <c r="E10" s="627">
        <v>20</v>
      </c>
      <c r="F10" s="598">
        <v>5</v>
      </c>
      <c r="G10" s="627">
        <v>4</v>
      </c>
    </row>
    <row r="11" spans="1:8" ht="15" customHeight="1">
      <c r="A11" s="697">
        <v>5</v>
      </c>
      <c r="B11" s="601">
        <v>10</v>
      </c>
      <c r="C11" s="627">
        <v>10</v>
      </c>
      <c r="D11" s="601">
        <v>10</v>
      </c>
      <c r="E11" s="627">
        <v>10</v>
      </c>
      <c r="F11" s="598"/>
      <c r="G11" s="627"/>
    </row>
    <row r="12" spans="1:8" ht="15" customHeight="1">
      <c r="A12" s="697">
        <v>6</v>
      </c>
      <c r="B12" s="601">
        <v>5</v>
      </c>
      <c r="C12" s="627">
        <v>5</v>
      </c>
      <c r="D12" s="601">
        <v>4</v>
      </c>
      <c r="E12" s="627">
        <v>6</v>
      </c>
      <c r="F12" s="598"/>
      <c r="G12" s="627"/>
    </row>
    <row r="13" spans="1:8" ht="15" customHeight="1">
      <c r="A13" s="697">
        <v>7</v>
      </c>
      <c r="B13" s="601">
        <v>5</v>
      </c>
      <c r="C13" s="627">
        <v>0</v>
      </c>
      <c r="D13" s="601"/>
      <c r="E13" s="627"/>
      <c r="F13" s="598"/>
      <c r="G13" s="627"/>
    </row>
    <row r="14" spans="1:8" ht="15" customHeight="1">
      <c r="A14" s="697">
        <v>8</v>
      </c>
      <c r="B14" s="601">
        <v>0</v>
      </c>
      <c r="C14" s="627"/>
      <c r="D14" s="601"/>
      <c r="E14" s="627"/>
      <c r="F14" s="598"/>
      <c r="G14" s="627"/>
    </row>
    <row r="15" spans="1:8" ht="15" customHeight="1">
      <c r="A15" s="697"/>
      <c r="B15" s="601"/>
      <c r="C15" s="627"/>
      <c r="D15" s="601"/>
      <c r="E15" s="627"/>
      <c r="F15" s="598"/>
      <c r="G15" s="627"/>
    </row>
    <row r="16" spans="1:8" ht="15" customHeight="1">
      <c r="A16" s="698"/>
      <c r="B16" s="630"/>
      <c r="C16" s="631"/>
      <c r="D16" s="630"/>
      <c r="E16" s="631"/>
      <c r="F16" s="699"/>
      <c r="G16" s="694"/>
    </row>
    <row r="17" spans="1:7" ht="25.5" customHeight="1">
      <c r="A17" s="1317" t="s">
        <v>287</v>
      </c>
      <c r="B17" s="1318"/>
      <c r="C17" s="1318"/>
      <c r="D17" s="1318"/>
      <c r="E17" s="1318"/>
      <c r="F17" s="1318"/>
      <c r="G17" s="1319"/>
    </row>
    <row r="18" spans="1:7" ht="15" customHeight="1">
      <c r="A18" s="611" t="s">
        <v>288</v>
      </c>
      <c r="B18" s="413"/>
      <c r="C18" s="413"/>
      <c r="D18" s="413"/>
      <c r="E18" s="413"/>
      <c r="F18" s="413"/>
      <c r="G18" s="612"/>
    </row>
    <row r="19" spans="1:7" ht="15" customHeight="1">
      <c r="A19" s="604"/>
      <c r="B19" s="603"/>
      <c r="C19" s="603"/>
      <c r="D19" s="603"/>
      <c r="E19" s="603"/>
      <c r="F19" s="603"/>
      <c r="G19" s="605"/>
    </row>
    <row r="20" spans="1:7" ht="15" customHeight="1">
      <c r="A20" s="604" t="s">
        <v>620</v>
      </c>
      <c r="B20" s="603"/>
      <c r="C20" s="603"/>
      <c r="D20" s="603"/>
      <c r="E20" s="603"/>
      <c r="F20" s="603"/>
      <c r="G20" s="605"/>
    </row>
    <row r="21" spans="1:7" ht="15" customHeight="1">
      <c r="A21" s="613"/>
      <c r="B21" s="693"/>
      <c r="C21" s="693"/>
      <c r="D21" s="693"/>
      <c r="E21" s="693"/>
      <c r="F21" s="693"/>
      <c r="G21" s="694"/>
    </row>
    <row r="22" spans="1:7" s="1" customFormat="1" ht="15" customHeight="1">
      <c r="A22" s="569"/>
      <c r="B22" s="1321" t="s">
        <v>19</v>
      </c>
      <c r="C22" s="1323"/>
      <c r="D22" s="1321" t="s">
        <v>20</v>
      </c>
      <c r="E22" s="1323"/>
      <c r="F22" s="1321" t="s">
        <v>338</v>
      </c>
      <c r="G22" s="1323"/>
    </row>
    <row r="23" spans="1:7" ht="15" customHeight="1">
      <c r="A23" s="150" t="s">
        <v>30</v>
      </c>
      <c r="B23" s="150" t="s">
        <v>289</v>
      </c>
      <c r="C23" s="150" t="s">
        <v>224</v>
      </c>
      <c r="D23" s="150" t="str">
        <f t="shared" ref="D23:G24" si="1">+B23</f>
        <v>Minutes</v>
      </c>
      <c r="E23" s="150" t="str">
        <f t="shared" si="1"/>
        <v>Hours</v>
      </c>
      <c r="F23" s="150" t="str">
        <f t="shared" si="1"/>
        <v>Minutes</v>
      </c>
      <c r="G23" s="150" t="str">
        <f t="shared" si="1"/>
        <v>Hours</v>
      </c>
    </row>
    <row r="24" spans="1:7" ht="15" customHeight="1">
      <c r="A24" s="150"/>
      <c r="B24" s="150" t="s">
        <v>290</v>
      </c>
      <c r="C24" s="150" t="s">
        <v>38</v>
      </c>
      <c r="D24" s="150" t="str">
        <f t="shared" si="1"/>
        <v xml:space="preserve"> /Tree</v>
      </c>
      <c r="E24" s="150" t="str">
        <f t="shared" si="1"/>
        <v xml:space="preserve"> /Acre</v>
      </c>
      <c r="F24" s="150" t="str">
        <f t="shared" si="1"/>
        <v xml:space="preserve"> /Tree</v>
      </c>
      <c r="G24" s="150" t="str">
        <f t="shared" si="1"/>
        <v xml:space="preserve"> /Acre</v>
      </c>
    </row>
    <row r="25" spans="1:7" ht="15" customHeight="1">
      <c r="A25" s="695">
        <v>1</v>
      </c>
      <c r="B25" s="700">
        <v>0</v>
      </c>
      <c r="C25" s="701">
        <f t="shared" ref="C25:C32" si="2">+B25*CLTree/60</f>
        <v>0</v>
      </c>
      <c r="D25" s="702">
        <v>0</v>
      </c>
      <c r="E25" s="623">
        <f t="shared" ref="E25:E30" si="3">+D25*VATree/60</f>
        <v>0</v>
      </c>
      <c r="F25" s="623">
        <v>0</v>
      </c>
      <c r="G25" s="621">
        <f>+F25*SSTree/60</f>
        <v>0</v>
      </c>
    </row>
    <row r="26" spans="1:7" ht="15" customHeight="1">
      <c r="A26" s="697">
        <v>2</v>
      </c>
      <c r="B26" s="441">
        <v>0</v>
      </c>
      <c r="C26" s="625">
        <f t="shared" si="2"/>
        <v>0</v>
      </c>
      <c r="D26" s="703">
        <v>0</v>
      </c>
      <c r="E26" s="626">
        <f t="shared" si="3"/>
        <v>0</v>
      </c>
      <c r="F26" s="626">
        <v>0</v>
      </c>
      <c r="G26" s="625">
        <f>+F26*SSTree/60</f>
        <v>0</v>
      </c>
    </row>
    <row r="27" spans="1:7" ht="15" customHeight="1">
      <c r="A27" s="697">
        <v>3</v>
      </c>
      <c r="B27" s="441">
        <v>0</v>
      </c>
      <c r="C27" s="625">
        <f t="shared" si="2"/>
        <v>0</v>
      </c>
      <c r="D27" s="703">
        <v>0</v>
      </c>
      <c r="E27" s="626">
        <f t="shared" si="3"/>
        <v>0</v>
      </c>
      <c r="F27" s="626">
        <v>0.5</v>
      </c>
      <c r="G27" s="625">
        <f>+F27*SSTree/60</f>
        <v>10.083333333333334</v>
      </c>
    </row>
    <row r="28" spans="1:7" ht="15" customHeight="1">
      <c r="A28" s="697">
        <v>4</v>
      </c>
      <c r="B28" s="441">
        <v>0</v>
      </c>
      <c r="C28" s="625">
        <f t="shared" si="2"/>
        <v>0</v>
      </c>
      <c r="D28" s="703">
        <v>0.5</v>
      </c>
      <c r="E28" s="626">
        <f t="shared" si="3"/>
        <v>5.1857142857142859</v>
      </c>
      <c r="F28" s="626">
        <v>1.5</v>
      </c>
      <c r="G28" s="625">
        <f>+F28*SSTree/60</f>
        <v>30.25</v>
      </c>
    </row>
    <row r="29" spans="1:7" ht="15" customHeight="1">
      <c r="A29" s="697">
        <v>5</v>
      </c>
      <c r="B29" s="441">
        <v>2</v>
      </c>
      <c r="C29" s="625">
        <f t="shared" si="2"/>
        <v>6.7222222222222223</v>
      </c>
      <c r="D29" s="703">
        <v>1</v>
      </c>
      <c r="E29" s="626">
        <f t="shared" si="3"/>
        <v>10.371428571428572</v>
      </c>
      <c r="F29" s="626"/>
      <c r="G29" s="625"/>
    </row>
    <row r="30" spans="1:7" ht="15" customHeight="1">
      <c r="A30" s="697">
        <v>6</v>
      </c>
      <c r="B30" s="441">
        <v>4</v>
      </c>
      <c r="C30" s="625">
        <f t="shared" si="2"/>
        <v>13.444444444444445</v>
      </c>
      <c r="D30" s="703">
        <v>3</v>
      </c>
      <c r="E30" s="626">
        <f t="shared" si="3"/>
        <v>31.114285714285717</v>
      </c>
      <c r="F30" s="626"/>
      <c r="G30" s="625"/>
    </row>
    <row r="31" spans="1:7" ht="15" customHeight="1">
      <c r="A31" s="697">
        <v>7</v>
      </c>
      <c r="B31" s="441">
        <v>8</v>
      </c>
      <c r="C31" s="625">
        <f t="shared" si="2"/>
        <v>26.888888888888889</v>
      </c>
      <c r="D31" s="703"/>
      <c r="E31" s="626"/>
      <c r="F31" s="626"/>
      <c r="G31" s="625"/>
    </row>
    <row r="32" spans="1:7" ht="15" customHeight="1">
      <c r="A32" s="697">
        <v>8</v>
      </c>
      <c r="B32" s="441">
        <v>10</v>
      </c>
      <c r="C32" s="625">
        <f t="shared" si="2"/>
        <v>33.611111111111107</v>
      </c>
      <c r="D32" s="703"/>
      <c r="E32" s="626"/>
      <c r="F32" s="626"/>
      <c r="G32" s="625"/>
    </row>
    <row r="33" spans="1:7" ht="15" customHeight="1">
      <c r="A33" s="697"/>
      <c r="B33" s="601"/>
      <c r="C33" s="625"/>
      <c r="D33" s="598"/>
      <c r="E33" s="599"/>
      <c r="F33" s="599"/>
      <c r="G33" s="422"/>
    </row>
    <row r="34" spans="1:7" ht="15" customHeight="1">
      <c r="A34" s="692" t="s">
        <v>403</v>
      </c>
      <c r="B34" s="606"/>
      <c r="C34" s="607"/>
      <c r="D34" s="704"/>
      <c r="E34" s="661"/>
      <c r="F34" s="661"/>
      <c r="G34" s="607"/>
    </row>
  </sheetData>
  <mergeCells count="8">
    <mergeCell ref="A1:G1"/>
    <mergeCell ref="A17:G17"/>
    <mergeCell ref="B22:C22"/>
    <mergeCell ref="D22:E22"/>
    <mergeCell ref="F22:G22"/>
    <mergeCell ref="B4:C4"/>
    <mergeCell ref="D4:E4"/>
    <mergeCell ref="F4:G4"/>
  </mergeCells>
  <phoneticPr fontId="0" type="noConversion"/>
  <printOptions horizontalCentered="1"/>
  <pageMargins left="0.5" right="0.5" top="1" bottom="0.5" header="0.5" footer="0.5"/>
  <pageSetup orientation="portrait" horizontalDpi="4294967293" r:id="rId1"/>
  <headerFooter alignWithMargins="0">
    <oddHeader>&amp;A</oddHeader>
    <oddFooter>&amp;L&amp; www.APPLES.MSU.EDU  &amp;F&amp;RPage &amp;P&amp; 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H15" sqref="H15"/>
    </sheetView>
  </sheetViews>
  <sheetFormatPr defaultRowHeight="12.75"/>
  <cols>
    <col min="1" max="1" width="7" style="117" customWidth="1"/>
    <col min="2" max="10" width="9.140625" style="117"/>
  </cols>
  <sheetData>
    <row r="1" spans="1:10" ht="20.25">
      <c r="A1" s="1243" t="s">
        <v>92</v>
      </c>
      <c r="B1" s="328"/>
      <c r="C1" s="328"/>
      <c r="D1" s="328"/>
      <c r="E1" s="328"/>
      <c r="F1" s="328"/>
      <c r="G1" s="328"/>
      <c r="H1" s="328"/>
      <c r="I1" s="328"/>
      <c r="J1" s="341"/>
    </row>
    <row r="2" spans="1:10">
      <c r="A2" s="1244"/>
      <c r="B2" s="1241"/>
      <c r="C2" s="1241"/>
      <c r="D2" s="1241"/>
      <c r="E2" s="1241"/>
      <c r="F2" s="1241"/>
      <c r="G2" s="1241"/>
      <c r="H2" s="1241"/>
      <c r="I2" s="1241"/>
      <c r="J2" s="1245"/>
    </row>
    <row r="3" spans="1:10">
      <c r="A3" s="1246"/>
      <c r="B3" s="1249"/>
      <c r="C3" s="1242" t="s">
        <v>164</v>
      </c>
      <c r="D3" s="1250"/>
      <c r="E3" s="1251"/>
      <c r="F3" s="1242" t="s">
        <v>165</v>
      </c>
      <c r="G3" s="372"/>
      <c r="H3" s="1251"/>
      <c r="I3" s="1242" t="s">
        <v>338</v>
      </c>
      <c r="J3" s="372"/>
    </row>
    <row r="4" spans="1:10">
      <c r="A4" s="1247"/>
      <c r="B4" s="500"/>
      <c r="C4" s="375" t="s">
        <v>236</v>
      </c>
      <c r="D4" s="491"/>
      <c r="E4" s="500"/>
      <c r="F4" s="375" t="str">
        <f>+C4</f>
        <v>Herbicide Strip</v>
      </c>
      <c r="G4" s="491"/>
      <c r="H4" s="500"/>
      <c r="I4" s="375" t="str">
        <f>+F4</f>
        <v>Herbicide Strip</v>
      </c>
      <c r="J4" s="491"/>
    </row>
    <row r="5" spans="1:10">
      <c r="A5" s="1248" t="s">
        <v>30</v>
      </c>
      <c r="B5" s="35" t="s">
        <v>237</v>
      </c>
      <c r="C5" s="33" t="s">
        <v>222</v>
      </c>
      <c r="D5" s="36" t="s">
        <v>37</v>
      </c>
      <c r="E5" s="35" t="str">
        <f>+B5</f>
        <v>Width</v>
      </c>
      <c r="F5" s="33" t="str">
        <f>+C5</f>
        <v>Program</v>
      </c>
      <c r="G5" s="36" t="str">
        <f>+D5</f>
        <v>Cost</v>
      </c>
      <c r="H5" s="35" t="str">
        <f>+E5</f>
        <v>Width</v>
      </c>
      <c r="I5" s="33" t="str">
        <f>+F5</f>
        <v>Program</v>
      </c>
      <c r="J5" s="36" t="str">
        <f>+G5</f>
        <v>Cost</v>
      </c>
    </row>
    <row r="6" spans="1:10">
      <c r="A6" s="1238">
        <v>1</v>
      </c>
      <c r="B6" s="381">
        <v>4</v>
      </c>
      <c r="C6" s="370" t="s">
        <v>238</v>
      </c>
      <c r="D6" s="382">
        <f>+B6/CLRowSpace*SoftHerb</f>
        <v>6.955591435185184</v>
      </c>
      <c r="E6" s="381">
        <v>4</v>
      </c>
      <c r="F6" s="370" t="s">
        <v>238</v>
      </c>
      <c r="G6" s="382">
        <f>+E6/VARowSpace*SoftHerb</f>
        <v>8.942903273809522</v>
      </c>
      <c r="H6" s="381">
        <v>4</v>
      </c>
      <c r="I6" s="370" t="s">
        <v>238</v>
      </c>
      <c r="J6" s="382">
        <f>+H6/VARowSpace*StandHerb</f>
        <v>8.4719866071428562</v>
      </c>
    </row>
    <row r="7" spans="1:10">
      <c r="A7" s="1239">
        <v>2</v>
      </c>
      <c r="B7" s="499">
        <v>4</v>
      </c>
      <c r="C7" s="483" t="str">
        <f>+C6</f>
        <v>Soft</v>
      </c>
      <c r="D7" s="1235">
        <f>+B7/CLRowSpace*SoftHerb</f>
        <v>6.955591435185184</v>
      </c>
      <c r="E7" s="499">
        <v>4</v>
      </c>
      <c r="F7" s="483" t="str">
        <f>+F6</f>
        <v>Soft</v>
      </c>
      <c r="G7" s="1235">
        <f>+E7/VARowSpace*SoftHerb</f>
        <v>8.942903273809522</v>
      </c>
      <c r="H7" s="499">
        <v>4</v>
      </c>
      <c r="I7" s="483" t="str">
        <f>+I6</f>
        <v>Soft</v>
      </c>
      <c r="J7" s="1235">
        <f>+H7/SSRowSpace*SoftHerb</f>
        <v>10.433387152777776</v>
      </c>
    </row>
    <row r="8" spans="1:10">
      <c r="A8" s="1239">
        <v>3</v>
      </c>
      <c r="B8" s="499">
        <v>6</v>
      </c>
      <c r="C8" s="483" t="str">
        <f>+C7</f>
        <v>Soft</v>
      </c>
      <c r="D8" s="1235">
        <f>+B8/CLRowSpace*SoftHerb</f>
        <v>10.433387152777776</v>
      </c>
      <c r="E8" s="499">
        <v>4</v>
      </c>
      <c r="F8" s="483" t="str">
        <f>+F7</f>
        <v>Soft</v>
      </c>
      <c r="G8" s="1235">
        <f>+E8/VARowSpace*SoftHerb</f>
        <v>8.942903273809522</v>
      </c>
      <c r="H8" s="499">
        <v>6</v>
      </c>
      <c r="I8" s="483" t="str">
        <f>+I7</f>
        <v>Soft</v>
      </c>
      <c r="J8" s="1235">
        <f>+H8/SSRowSpace*SoftHerb</f>
        <v>15.650080729166666</v>
      </c>
    </row>
    <row r="9" spans="1:10">
      <c r="A9" s="1239">
        <v>4</v>
      </c>
      <c r="B9" s="499">
        <v>6</v>
      </c>
      <c r="C9" s="483" t="str">
        <f>+C8</f>
        <v>Soft</v>
      </c>
      <c r="D9" s="1235">
        <f>+B9/CLRowSpace*SoftHerb</f>
        <v>10.433387152777776</v>
      </c>
      <c r="E9" s="499">
        <v>6</v>
      </c>
      <c r="F9" s="483" t="s">
        <v>239</v>
      </c>
      <c r="G9" s="1235">
        <f>+E9/VARowSpace*StandHerb</f>
        <v>12.707979910714284</v>
      </c>
      <c r="H9" s="499">
        <v>6</v>
      </c>
      <c r="I9" s="483" t="s">
        <v>239</v>
      </c>
      <c r="J9" s="1235">
        <f>+H9/SSRowSpace*StandHerb</f>
        <v>14.825976562499999</v>
      </c>
    </row>
    <row r="10" spans="1:10">
      <c r="A10" s="1239">
        <v>5</v>
      </c>
      <c r="B10" s="499">
        <v>6</v>
      </c>
      <c r="C10" s="483" t="s">
        <v>239</v>
      </c>
      <c r="D10" s="1235">
        <f>+B10/CLRowSpace*StandHerb</f>
        <v>9.8839843749999989</v>
      </c>
      <c r="E10" s="499">
        <v>6</v>
      </c>
      <c r="F10" s="483" t="s">
        <v>239</v>
      </c>
      <c r="G10" s="1235">
        <f>+E10/VARowSpace*StandHerb</f>
        <v>12.707979910714284</v>
      </c>
      <c r="H10" s="499"/>
      <c r="I10" s="483"/>
      <c r="J10" s="343"/>
    </row>
    <row r="11" spans="1:10">
      <c r="A11" s="1239">
        <v>6</v>
      </c>
      <c r="B11" s="499">
        <v>8</v>
      </c>
      <c r="C11" s="483" t="str">
        <f>+C10</f>
        <v>Standard</v>
      </c>
      <c r="D11" s="1235">
        <f>+B11/CLRowSpace*StandHerb</f>
        <v>13.178645833333333</v>
      </c>
      <c r="E11" s="499">
        <v>6</v>
      </c>
      <c r="F11" s="483" t="str">
        <f>+F10</f>
        <v>Standard</v>
      </c>
      <c r="G11" s="1235">
        <f>+E11/VARowSpace*StandHerb</f>
        <v>12.707979910714284</v>
      </c>
      <c r="H11" s="499"/>
      <c r="I11" s="483"/>
      <c r="J11" s="343"/>
    </row>
    <row r="12" spans="1:10">
      <c r="A12" s="1239">
        <v>7</v>
      </c>
      <c r="B12" s="499">
        <v>8</v>
      </c>
      <c r="C12" s="483" t="str">
        <f>+C11</f>
        <v>Standard</v>
      </c>
      <c r="D12" s="1235">
        <f>+B12/CLRowSpace*StandHerb</f>
        <v>13.178645833333333</v>
      </c>
      <c r="E12" s="499"/>
      <c r="F12" s="483"/>
      <c r="G12" s="1235"/>
      <c r="H12" s="499"/>
      <c r="I12" s="483"/>
      <c r="J12" s="343"/>
    </row>
    <row r="13" spans="1:10">
      <c r="A13" s="1240">
        <v>8</v>
      </c>
      <c r="B13" s="500">
        <v>8</v>
      </c>
      <c r="C13" s="375" t="str">
        <f>+C12</f>
        <v>Standard</v>
      </c>
      <c r="D13" s="1237">
        <f>+B13/CLRowSpace*StandHerb</f>
        <v>13.178645833333333</v>
      </c>
      <c r="E13" s="500"/>
      <c r="F13" s="375"/>
      <c r="G13" s="1237"/>
      <c r="H13" s="373"/>
      <c r="I13" s="374"/>
      <c r="J13" s="1236"/>
    </row>
    <row r="14" spans="1:10">
      <c r="A14" s="1231" t="s">
        <v>240</v>
      </c>
      <c r="B14" s="366"/>
      <c r="C14" s="366"/>
      <c r="D14" s="1232"/>
      <c r="E14" s="498"/>
      <c r="F14" s="366"/>
      <c r="G14" s="1233"/>
      <c r="H14" s="1234"/>
      <c r="I14" s="357"/>
      <c r="J14" s="368"/>
    </row>
    <row r="15" spans="1:10">
      <c r="A15" s="373" t="s">
        <v>241</v>
      </c>
      <c r="B15" s="374"/>
      <c r="C15" s="375"/>
      <c r="D15" s="379">
        <v>0.8</v>
      </c>
      <c r="E15" s="383"/>
      <c r="F15" s="377"/>
      <c r="G15" s="378">
        <f>+CLHerbTime*1.4</f>
        <v>1.1199999999999999</v>
      </c>
      <c r="H15" s="380"/>
      <c r="I15" s="376"/>
      <c r="J15" s="378">
        <f>+CLHerbTime*1.6</f>
        <v>1.2800000000000002</v>
      </c>
    </row>
    <row r="16" spans="1:10">
      <c r="A16" s="369"/>
      <c r="B16" s="366"/>
      <c r="C16" s="366"/>
      <c r="D16" s="367"/>
      <c r="E16" s="366"/>
      <c r="F16" s="366"/>
      <c r="G16" s="367"/>
      <c r="H16" s="357"/>
      <c r="I16" s="357"/>
      <c r="J16" s="368"/>
    </row>
    <row r="17" spans="1:10">
      <c r="A17" s="349"/>
      <c r="B17" s="102"/>
      <c r="C17" s="102"/>
      <c r="D17" s="102"/>
      <c r="E17" s="102"/>
      <c r="F17" s="102"/>
      <c r="G17" s="102"/>
      <c r="H17" s="102"/>
      <c r="I17" s="102"/>
      <c r="J17" s="343"/>
    </row>
    <row r="18" spans="1:10">
      <c r="A18" s="350"/>
      <c r="B18" s="342"/>
      <c r="C18" s="342"/>
      <c r="D18" s="342"/>
      <c r="E18" s="342"/>
      <c r="F18" s="342"/>
      <c r="G18" s="342"/>
      <c r="H18" s="342"/>
      <c r="I18" s="342"/>
      <c r="J18" s="351"/>
    </row>
    <row r="19" spans="1:10" ht="18">
      <c r="A19" s="1338" t="s">
        <v>242</v>
      </c>
      <c r="B19" s="1338"/>
      <c r="C19" s="1338"/>
      <c r="D19" s="1338"/>
      <c r="E19" s="1338"/>
      <c r="F19" s="1338"/>
      <c r="G19" s="1338"/>
      <c r="H19" s="1338"/>
      <c r="I19" s="1338"/>
      <c r="J19" s="1338"/>
    </row>
    <row r="20" spans="1:10" s="134" customFormat="1" ht="38.25">
      <c r="A20" s="364" t="s">
        <v>243</v>
      </c>
      <c r="B20" s="171" t="s">
        <v>616</v>
      </c>
      <c r="C20" s="1339" t="s">
        <v>66</v>
      </c>
      <c r="D20" s="1339"/>
      <c r="E20" s="1339" t="s">
        <v>181</v>
      </c>
      <c r="F20" s="1339"/>
      <c r="G20" s="1339" t="s">
        <v>52</v>
      </c>
      <c r="H20" s="1339"/>
      <c r="I20" s="365"/>
      <c r="J20" s="364" t="s">
        <v>182</v>
      </c>
    </row>
    <row r="21" spans="1:10">
      <c r="A21" s="358">
        <v>2</v>
      </c>
      <c r="B21" s="359">
        <v>68</v>
      </c>
      <c r="C21" s="360" t="str">
        <f>VLOOKUP($B21,SprayCost,3)</f>
        <v>Gramoxone Inteon</v>
      </c>
      <c r="D21" s="340"/>
      <c r="E21" s="360">
        <f>VLOOKUP('Spray Program'!$D22,SprayCost,11)</f>
        <v>6</v>
      </c>
      <c r="F21" s="360" t="str">
        <f>VLOOKUP('Spray Program'!$D22,SprayCost,12)</f>
        <v>lb</v>
      </c>
      <c r="G21" s="361">
        <f>VLOOKUP('Spray Program'!$D22,SprayCost,13)</f>
        <v>3.875</v>
      </c>
      <c r="H21" s="360" t="str">
        <f>VLOOKUP('Spray Program'!$D22,SprayCost,12)</f>
        <v>lb</v>
      </c>
      <c r="I21" s="339"/>
      <c r="J21" s="363">
        <f>+G21/4*E21</f>
        <v>5.8125</v>
      </c>
    </row>
    <row r="22" spans="1:10">
      <c r="A22" s="344"/>
      <c r="B22" s="131">
        <v>126</v>
      </c>
      <c r="C22" s="120" t="str">
        <f>VLOOKUP($B22,SprayCost,3)</f>
        <v>Surflan AS</v>
      </c>
      <c r="D22" s="122"/>
      <c r="E22" s="120">
        <f>VLOOKUP('Spray Program'!$D23,SprayCost,11)</f>
        <v>1.33</v>
      </c>
      <c r="F22" s="120" t="str">
        <f>VLOOKUP('Spray Program'!$D23,SprayCost,12)</f>
        <v>lb</v>
      </c>
      <c r="G22" s="121">
        <f>VLOOKUP('Spray Program'!$D23,SprayCost,13)</f>
        <v>15.483333333333334</v>
      </c>
      <c r="H22" s="120" t="str">
        <f>VLOOKUP('Spray Program'!$D23,SprayCost,12)</f>
        <v>lb</v>
      </c>
      <c r="I22" s="100"/>
      <c r="J22" s="345">
        <f>+G22/4*E22</f>
        <v>5.1482083333333337</v>
      </c>
    </row>
    <row r="23" spans="1:10">
      <c r="A23" s="344"/>
      <c r="B23" s="131">
        <v>68</v>
      </c>
      <c r="C23" s="120" t="str">
        <f>VLOOKUP($B23,SprayCost,3)</f>
        <v>Gramoxone Inteon</v>
      </c>
      <c r="D23" s="122"/>
      <c r="E23" s="120">
        <f>VLOOKUP('Spray Program'!$D24,SprayCost,11)</f>
        <v>10</v>
      </c>
      <c r="F23" s="120" t="str">
        <f>VLOOKUP('Spray Program'!$D24,SprayCost,12)</f>
        <v>oz</v>
      </c>
      <c r="G23" s="121">
        <f>VLOOKUP('Spray Program'!$D24,SprayCost,13)</f>
        <v>3.96578125</v>
      </c>
      <c r="H23" s="120" t="str">
        <f>VLOOKUP('Spray Program'!$D24,SprayCost,12)</f>
        <v>oz</v>
      </c>
      <c r="I23" s="100"/>
      <c r="J23" s="345">
        <f>+G23/4*E23</f>
        <v>9.9144531249999996</v>
      </c>
    </row>
    <row r="24" spans="1:10">
      <c r="A24" s="346"/>
      <c r="B24" s="352">
        <v>20</v>
      </c>
      <c r="C24" s="323" t="str">
        <f>VLOOKUP($B24,SprayCost,3)</f>
        <v>Amine 2,4-D</v>
      </c>
      <c r="D24" s="322"/>
      <c r="E24" s="323">
        <f>VLOOKUP('Spray Program'!$D25,SprayCost,11)</f>
        <v>6</v>
      </c>
      <c r="F24" s="323" t="str">
        <f>VLOOKUP('Spray Program'!$D25,SprayCost,12)</f>
        <v>gal</v>
      </c>
      <c r="G24" s="324">
        <f>VLOOKUP('Spray Program'!$D25,SprayCost,13)</f>
        <v>6.95</v>
      </c>
      <c r="H24" s="323" t="str">
        <f>VLOOKUP('Spray Program'!$D25,SprayCost,12)</f>
        <v>gal</v>
      </c>
      <c r="I24" s="338"/>
      <c r="J24" s="347">
        <f>+G24/4*E24</f>
        <v>10.425000000000001</v>
      </c>
    </row>
    <row r="25" spans="1:10">
      <c r="A25" s="326"/>
      <c r="B25" s="327"/>
      <c r="C25" s="327"/>
      <c r="D25" s="330"/>
      <c r="E25" s="327"/>
      <c r="F25" s="329"/>
      <c r="G25" s="327"/>
      <c r="H25" s="329"/>
      <c r="I25" s="328"/>
      <c r="J25" s="341"/>
    </row>
    <row r="26" spans="1:10">
      <c r="A26" s="332" t="s">
        <v>618</v>
      </c>
      <c r="B26" s="333"/>
      <c r="C26" s="333"/>
      <c r="D26" s="336"/>
      <c r="E26" s="333"/>
      <c r="F26" s="335"/>
      <c r="G26" s="333"/>
      <c r="H26" s="334"/>
      <c r="I26" s="334"/>
      <c r="J26" s="337">
        <f>SUM(J21:J25)</f>
        <v>31.300161458333331</v>
      </c>
    </row>
    <row r="27" spans="1:10">
      <c r="A27" s="353"/>
      <c r="B27" s="354"/>
      <c r="C27" s="354"/>
      <c r="D27" s="355"/>
      <c r="E27" s="354"/>
      <c r="F27" s="354"/>
      <c r="G27" s="354"/>
      <c r="H27" s="354"/>
      <c r="I27" s="354"/>
      <c r="J27" s="356"/>
    </row>
    <row r="28" spans="1:10" ht="18">
      <c r="A28" s="1338" t="s">
        <v>244</v>
      </c>
      <c r="B28" s="1338"/>
      <c r="C28" s="1338"/>
      <c r="D28" s="1338"/>
      <c r="E28" s="1338"/>
      <c r="F28" s="1338"/>
      <c r="G28" s="1338"/>
      <c r="H28" s="1338"/>
      <c r="I28" s="1338"/>
      <c r="J28" s="1338"/>
    </row>
    <row r="29" spans="1:10" s="134" customFormat="1" ht="38.25">
      <c r="A29" s="364" t="s">
        <v>243</v>
      </c>
      <c r="B29" s="171" t="s">
        <v>616</v>
      </c>
      <c r="C29" s="1339" t="s">
        <v>66</v>
      </c>
      <c r="D29" s="1339"/>
      <c r="E29" s="1339" t="s">
        <v>181</v>
      </c>
      <c r="F29" s="1339"/>
      <c r="G29" s="1339" t="s">
        <v>52</v>
      </c>
      <c r="H29" s="1339"/>
      <c r="I29" s="365"/>
      <c r="J29" s="364" t="s">
        <v>182</v>
      </c>
    </row>
    <row r="30" spans="1:10">
      <c r="A30" s="358">
        <v>2</v>
      </c>
      <c r="B30" s="359">
        <v>104</v>
      </c>
      <c r="C30" s="360" t="str">
        <f>VLOOKUP($B30,SprayCost,3)</f>
        <v>Roundup Powermax</v>
      </c>
      <c r="D30" s="340"/>
      <c r="E30" s="360">
        <f>VLOOKUP('Spray Program'!$D32,SprayCost,11)</f>
        <v>20</v>
      </c>
      <c r="F30" s="360" t="str">
        <f>VLOOKUP('Spray Program'!$D32,SprayCost,12)</f>
        <v>oz</v>
      </c>
      <c r="G30" s="361">
        <f>VLOOKUP('Spray Program'!$D32,SprayCost,13)</f>
        <v>1.5553906249999998</v>
      </c>
      <c r="H30" s="360" t="str">
        <f>VLOOKUP('Spray Program'!$D32,SprayCost,12)</f>
        <v>oz</v>
      </c>
      <c r="I30" s="362"/>
      <c r="J30" s="363">
        <f>+G30/4*E30</f>
        <v>7.7769531249999986</v>
      </c>
    </row>
    <row r="31" spans="1:10">
      <c r="A31" s="344"/>
      <c r="B31" s="131">
        <v>57</v>
      </c>
      <c r="C31" s="120" t="str">
        <f>VLOOKUP($B31,SprayCost,3)</f>
        <v>Diuron 4L</v>
      </c>
      <c r="D31" s="122"/>
      <c r="E31" s="120">
        <f>VLOOKUP('Spray Program'!$D33,SprayCost,11)</f>
        <v>6</v>
      </c>
      <c r="F31" s="120" t="str">
        <f>VLOOKUP('Spray Program'!$D33,SprayCost,12)</f>
        <v>lb</v>
      </c>
      <c r="G31" s="121">
        <f>VLOOKUP('Spray Program'!$D33,SprayCost,13)</f>
        <v>3.4033333333333329</v>
      </c>
      <c r="H31" s="120" t="str">
        <f>VLOOKUP('Spray Program'!$D33,SprayCost,12)</f>
        <v>lb</v>
      </c>
      <c r="I31" s="99"/>
      <c r="J31" s="345">
        <f>+G31/4*E31</f>
        <v>5.1049999999999995</v>
      </c>
    </row>
    <row r="32" spans="1:10">
      <c r="A32" s="344"/>
      <c r="B32" s="131">
        <v>57</v>
      </c>
      <c r="C32" s="120" t="str">
        <f>VLOOKUP($B32,SprayCost,3)</f>
        <v>Diuron 4L</v>
      </c>
      <c r="D32" s="122"/>
      <c r="E32" s="120">
        <f>VLOOKUP('Spray Program'!$D34,SprayCost,11)</f>
        <v>6</v>
      </c>
      <c r="F32" s="120" t="str">
        <f>VLOOKUP('Spray Program'!$D34,SprayCost,12)</f>
        <v>lb</v>
      </c>
      <c r="G32" s="121">
        <f>VLOOKUP('Spray Program'!$D34,SprayCost,13)</f>
        <v>3.4033333333333329</v>
      </c>
      <c r="H32" s="120" t="str">
        <f>VLOOKUP('Spray Program'!$D34,SprayCost,12)</f>
        <v>lb</v>
      </c>
      <c r="I32" s="99"/>
      <c r="J32" s="345">
        <f>+G32/4*E32</f>
        <v>5.1049999999999995</v>
      </c>
    </row>
    <row r="33" spans="1:10">
      <c r="A33" s="344"/>
      <c r="B33" s="131">
        <v>20</v>
      </c>
      <c r="C33" s="120" t="str">
        <f>VLOOKUP($B33,SprayCost,3)</f>
        <v>Amine 2,4-D</v>
      </c>
      <c r="D33" s="122"/>
      <c r="E33" s="120">
        <f>VLOOKUP('Spray Program'!$D35,SprayCost,11)</f>
        <v>3</v>
      </c>
      <c r="F33" s="120" t="str">
        <f>VLOOKUP('Spray Program'!$D35,SprayCost,12)</f>
        <v>oz</v>
      </c>
      <c r="G33" s="121">
        <f>VLOOKUP('Spray Program'!$D35,SprayCost,13)</f>
        <v>4.2</v>
      </c>
      <c r="H33" s="120" t="str">
        <f>VLOOKUP('Spray Program'!$D35,SprayCost,12)</f>
        <v>oz</v>
      </c>
      <c r="I33" s="99"/>
      <c r="J33" s="345">
        <f>+G33/4*E33</f>
        <v>3.1500000000000004</v>
      </c>
    </row>
    <row r="34" spans="1:10">
      <c r="A34" s="346"/>
      <c r="B34" s="352">
        <v>68</v>
      </c>
      <c r="C34" s="323" t="str">
        <f>VLOOKUP($B34,SprayCost,3)</f>
        <v>Gramoxone Inteon</v>
      </c>
      <c r="D34" s="322"/>
      <c r="E34" s="323">
        <f>VLOOKUP('Spray Program'!$D36,SprayCost,11)</f>
        <v>4.8</v>
      </c>
      <c r="F34" s="323" t="str">
        <f>VLOOKUP('Spray Program'!$D36,SprayCost,12)</f>
        <v>oz</v>
      </c>
      <c r="G34" s="324">
        <f>VLOOKUP('Spray Program'!$D36,SprayCost,13)</f>
        <v>7.0958333333333341</v>
      </c>
      <c r="H34" s="323" t="str">
        <f>VLOOKUP('Spray Program'!$D36,SprayCost,12)</f>
        <v>oz</v>
      </c>
      <c r="I34" s="325"/>
      <c r="J34" s="347">
        <f>+G34/4*E34</f>
        <v>8.5150000000000006</v>
      </c>
    </row>
    <row r="35" spans="1:10">
      <c r="A35" s="326"/>
      <c r="B35" s="327"/>
      <c r="C35" s="328"/>
      <c r="D35" s="327"/>
      <c r="E35" s="327"/>
      <c r="F35" s="329"/>
      <c r="G35" s="327"/>
      <c r="H35" s="330"/>
      <c r="I35" s="328"/>
      <c r="J35" s="331"/>
    </row>
    <row r="36" spans="1:10">
      <c r="A36" s="332" t="str">
        <f>+A26</f>
        <v>Total material cost per treated acre</v>
      </c>
      <c r="B36" s="333"/>
      <c r="C36" s="334"/>
      <c r="D36" s="333"/>
      <c r="E36" s="333"/>
      <c r="F36" s="335"/>
      <c r="G36" s="333"/>
      <c r="H36" s="336"/>
      <c r="I36" s="334"/>
      <c r="J36" s="337">
        <f>SUM(J30:J35)</f>
        <v>29.651953124999999</v>
      </c>
    </row>
    <row r="37" spans="1:10">
      <c r="D37" s="132"/>
    </row>
    <row r="38" spans="1:10">
      <c r="D38" s="132"/>
    </row>
  </sheetData>
  <mergeCells count="8">
    <mergeCell ref="A19:J19"/>
    <mergeCell ref="E29:F29"/>
    <mergeCell ref="E20:F20"/>
    <mergeCell ref="G20:H20"/>
    <mergeCell ref="G29:H29"/>
    <mergeCell ref="C29:D29"/>
    <mergeCell ref="C20:D20"/>
    <mergeCell ref="A28:J28"/>
  </mergeCells>
  <printOptions horizontalCentered="1"/>
  <pageMargins left="0.5" right="0.5" top="1" bottom="0.5" header="0.5" footer="0.5"/>
  <pageSetup orientation="portrait" r:id="rId1"/>
  <headerFooter alignWithMargins="0">
    <oddHeader>&amp;A</oddHeader>
    <oddFooter>&amp;L&amp; www.APPLES.MSU.EDU  &amp;F&amp;RPage &amp;P&amp;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305</vt:i4>
      </vt:variant>
    </vt:vector>
  </HeadingPairs>
  <TitlesOfParts>
    <vt:vector size="331" baseType="lpstr">
      <vt:lpstr>Factors &amp; Yield</vt:lpstr>
      <vt:lpstr>Descrip</vt:lpstr>
      <vt:lpstr>Mowing</vt:lpstr>
      <vt:lpstr>Irrigation</vt:lpstr>
      <vt:lpstr>Fertilizer</vt:lpstr>
      <vt:lpstr>Wildlife</vt:lpstr>
      <vt:lpstr>Trellis</vt:lpstr>
      <vt:lpstr>Training</vt:lpstr>
      <vt:lpstr>Herbicide</vt:lpstr>
      <vt:lpstr>Spray Program</vt:lpstr>
      <vt:lpstr>Spray Costs</vt:lpstr>
      <vt:lpstr>Harvest</vt:lpstr>
      <vt:lpstr>PrepYear</vt:lpstr>
      <vt:lpstr>Central Leader</vt:lpstr>
      <vt:lpstr>Vertical Axe</vt:lpstr>
      <vt:lpstr>Tall Spindle</vt:lpstr>
      <vt:lpstr>CL Profit</vt:lpstr>
      <vt:lpstr>VA Profit</vt:lpstr>
      <vt:lpstr>TS Profit</vt:lpstr>
      <vt:lpstr>Summary</vt:lpstr>
      <vt:lpstr>Profit</vt:lpstr>
      <vt:lpstr>Comparisons</vt:lpstr>
      <vt:lpstr>CostPrice</vt:lpstr>
      <vt:lpstr>SprayPrice</vt:lpstr>
      <vt:lpstr>Equipment</vt:lpstr>
      <vt:lpstr>mine</vt:lpstr>
      <vt:lpstr>BaitCost</vt:lpstr>
      <vt:lpstr>Bulldozer</vt:lpstr>
      <vt:lpstr>BushelHour</vt:lpstr>
      <vt:lpstr>CampDepPerYear</vt:lpstr>
      <vt:lpstr>CampWorker</vt:lpstr>
      <vt:lpstr>CLBait1</vt:lpstr>
      <vt:lpstr>CLBait2</vt:lpstr>
      <vt:lpstr>CLBait3</vt:lpstr>
      <vt:lpstr>CLBait4</vt:lpstr>
      <vt:lpstr>CLBait5</vt:lpstr>
      <vt:lpstr>CLBait6</vt:lpstr>
      <vt:lpstr>CLBait7</vt:lpstr>
      <vt:lpstr>CLBait8</vt:lpstr>
      <vt:lpstr>CLBaitTime1</vt:lpstr>
      <vt:lpstr>CLBaitTime2</vt:lpstr>
      <vt:lpstr>CLBaitTime3</vt:lpstr>
      <vt:lpstr>CLBaitTIme4</vt:lpstr>
      <vt:lpstr>CLBaitTime5</vt:lpstr>
      <vt:lpstr>CLBaitTime6</vt:lpstr>
      <vt:lpstr>CLBaitTime7</vt:lpstr>
      <vt:lpstr>CLBaitTIme8</vt:lpstr>
      <vt:lpstr>CLFert1</vt:lpstr>
      <vt:lpstr>CLFert2</vt:lpstr>
      <vt:lpstr>CLFert3</vt:lpstr>
      <vt:lpstr>CLFert4</vt:lpstr>
      <vt:lpstr>CLFert5</vt:lpstr>
      <vt:lpstr>CLFert6</vt:lpstr>
      <vt:lpstr>CLFert7</vt:lpstr>
      <vt:lpstr>CLFert8</vt:lpstr>
      <vt:lpstr>CLFertTime</vt:lpstr>
      <vt:lpstr>CLFertTime1</vt:lpstr>
      <vt:lpstr>CLFertTime2</vt:lpstr>
      <vt:lpstr>CLFertTime3</vt:lpstr>
      <vt:lpstr>CLFertTime4</vt:lpstr>
      <vt:lpstr>CLFertTime5</vt:lpstr>
      <vt:lpstr>CLFertTime6</vt:lpstr>
      <vt:lpstr>CLFertTime7</vt:lpstr>
      <vt:lpstr>CLFertTime8</vt:lpstr>
      <vt:lpstr>CLHerb</vt:lpstr>
      <vt:lpstr>CLHerb1</vt:lpstr>
      <vt:lpstr>CLHerb2</vt:lpstr>
      <vt:lpstr>CLHerb3</vt:lpstr>
      <vt:lpstr>CLHerb4</vt:lpstr>
      <vt:lpstr>CLHerb5</vt:lpstr>
      <vt:lpstr>CLHerb6</vt:lpstr>
      <vt:lpstr>CLHerb7</vt:lpstr>
      <vt:lpstr>CLHerb8</vt:lpstr>
      <vt:lpstr>CLHerbTime</vt:lpstr>
      <vt:lpstr>CLIrr</vt:lpstr>
      <vt:lpstr>CLMowTime</vt:lpstr>
      <vt:lpstr>CLMowTime1</vt:lpstr>
      <vt:lpstr>CLMowTime2</vt:lpstr>
      <vt:lpstr>CLMowTime3</vt:lpstr>
      <vt:lpstr>CLMowTime4</vt:lpstr>
      <vt:lpstr>CLMowTime5</vt:lpstr>
      <vt:lpstr>CLMowTime6</vt:lpstr>
      <vt:lpstr>CLMowTime7</vt:lpstr>
      <vt:lpstr>CLMowTime8</vt:lpstr>
      <vt:lpstr>CLProfit</vt:lpstr>
      <vt:lpstr>CLPrune1</vt:lpstr>
      <vt:lpstr>CLPrune2</vt:lpstr>
      <vt:lpstr>CLPrune3</vt:lpstr>
      <vt:lpstr>CLPrune4</vt:lpstr>
      <vt:lpstr>CLPrune5</vt:lpstr>
      <vt:lpstr>CLPrune6</vt:lpstr>
      <vt:lpstr>CLPrune7</vt:lpstr>
      <vt:lpstr>CLPrune8</vt:lpstr>
      <vt:lpstr>CLRowAcre</vt:lpstr>
      <vt:lpstr>CLRowSpace</vt:lpstr>
      <vt:lpstr>CLSprayMat1</vt:lpstr>
      <vt:lpstr>CLSprayMat2</vt:lpstr>
      <vt:lpstr>CLSprayMat3</vt:lpstr>
      <vt:lpstr>CLSprayMat4</vt:lpstr>
      <vt:lpstr>CLSprayMat5</vt:lpstr>
      <vt:lpstr>CLSprayMat6</vt:lpstr>
      <vt:lpstr>CLSprayMat7</vt:lpstr>
      <vt:lpstr>CLSprayMat8</vt:lpstr>
      <vt:lpstr>CLSprayTIme</vt:lpstr>
      <vt:lpstr>CLSprayTime1</vt:lpstr>
      <vt:lpstr>CLSprayTime2</vt:lpstr>
      <vt:lpstr>CLSprayTime3</vt:lpstr>
      <vt:lpstr>CLSprayTime4</vt:lpstr>
      <vt:lpstr>CLTime</vt:lpstr>
      <vt:lpstr>CLTotSprayCost</vt:lpstr>
      <vt:lpstr>CLTrain1</vt:lpstr>
      <vt:lpstr>CLTrain2</vt:lpstr>
      <vt:lpstr>CLTrain3</vt:lpstr>
      <vt:lpstr>CLTrain4</vt:lpstr>
      <vt:lpstr>CLTrain5</vt:lpstr>
      <vt:lpstr>CLTrain6</vt:lpstr>
      <vt:lpstr>CLTrain7</vt:lpstr>
      <vt:lpstr>CLTrain8</vt:lpstr>
      <vt:lpstr>CLTrainMat1</vt:lpstr>
      <vt:lpstr>CLTrainMat2</vt:lpstr>
      <vt:lpstr>CLTrainMat3</vt:lpstr>
      <vt:lpstr>CLTrainMat4</vt:lpstr>
      <vt:lpstr>CLTrainMat5</vt:lpstr>
      <vt:lpstr>CLTrainMat6</vt:lpstr>
      <vt:lpstr>CLTrainMat7</vt:lpstr>
      <vt:lpstr>CLTrainMat8</vt:lpstr>
      <vt:lpstr>CLTree</vt:lpstr>
      <vt:lpstr>CLTrellis</vt:lpstr>
      <vt:lpstr>CLTRV</vt:lpstr>
      <vt:lpstr>CLWild</vt:lpstr>
      <vt:lpstr>CLYear1</vt:lpstr>
      <vt:lpstr>CLYear2</vt:lpstr>
      <vt:lpstr>CLYear3</vt:lpstr>
      <vt:lpstr>CLYear4</vt:lpstr>
      <vt:lpstr>CLYear5</vt:lpstr>
      <vt:lpstr>CLYear6</vt:lpstr>
      <vt:lpstr>CLYear7</vt:lpstr>
      <vt:lpstr>CLYear8</vt:lpstr>
      <vt:lpstr>CustomPlant</vt:lpstr>
      <vt:lpstr>Diesel</vt:lpstr>
      <vt:lpstr>EqOther</vt:lpstr>
      <vt:lpstr>EquipCost</vt:lpstr>
      <vt:lpstr>EquipCostTab</vt:lpstr>
      <vt:lpstr>FertTon</vt:lpstr>
      <vt:lpstr>FoliarMat</vt:lpstr>
      <vt:lpstr>Gas</vt:lpstr>
      <vt:lpstr>IntLand</vt:lpstr>
      <vt:lpstr>IntOper</vt:lpstr>
      <vt:lpstr>IntRate</vt:lpstr>
      <vt:lpstr>KTon</vt:lpstr>
      <vt:lpstr>LaborNoSkill</vt:lpstr>
      <vt:lpstr>LaborPicking</vt:lpstr>
      <vt:lpstr>LaborSkill</vt:lpstr>
      <vt:lpstr>LandCost</vt:lpstr>
      <vt:lpstr>Lime</vt:lpstr>
      <vt:lpstr>ManHours</vt:lpstr>
      <vt:lpstr>OrchLife</vt:lpstr>
      <vt:lpstr>other</vt:lpstr>
      <vt:lpstr>PieceRateBin</vt:lpstr>
      <vt:lpstr>Price</vt:lpstr>
      <vt:lpstr>Equipment!Print_Area</vt:lpstr>
      <vt:lpstr>Fertilizer!Print_Area</vt:lpstr>
      <vt:lpstr>Harvest!Print_Area</vt:lpstr>
      <vt:lpstr>'Spray Program'!Print_Area</vt:lpstr>
      <vt:lpstr>SprayPrice!Print_Area</vt:lpstr>
      <vt:lpstr>Equipment!Print_Titles</vt:lpstr>
      <vt:lpstr>'Spray Program'!Print_Titles</vt:lpstr>
      <vt:lpstr>SprayPrice!Print_Titles</vt:lpstr>
      <vt:lpstr>RETax</vt:lpstr>
      <vt:lpstr>SoftHerb</vt:lpstr>
      <vt:lpstr>SprayCost</vt:lpstr>
      <vt:lpstr>SprayMat4</vt:lpstr>
      <vt:lpstr>SprayTrip4</vt:lpstr>
      <vt:lpstr>SprayTrip5</vt:lpstr>
      <vt:lpstr>SSBait1</vt:lpstr>
      <vt:lpstr>SSBait2</vt:lpstr>
      <vt:lpstr>SSBait3</vt:lpstr>
      <vt:lpstr>SSBait4</vt:lpstr>
      <vt:lpstr>SSBaitTIme1</vt:lpstr>
      <vt:lpstr>SSBaitTime2</vt:lpstr>
      <vt:lpstr>SSBaitTime3</vt:lpstr>
      <vt:lpstr>SSBaitTime4</vt:lpstr>
      <vt:lpstr>SSFert1</vt:lpstr>
      <vt:lpstr>SSFert2</vt:lpstr>
      <vt:lpstr>SSFert3</vt:lpstr>
      <vt:lpstr>SSFert4</vt:lpstr>
      <vt:lpstr>SSFertTime</vt:lpstr>
      <vt:lpstr>SSFertTime1</vt:lpstr>
      <vt:lpstr>SSFertTime2</vt:lpstr>
      <vt:lpstr>SSFertTime3</vt:lpstr>
      <vt:lpstr>SSFertTime4</vt:lpstr>
      <vt:lpstr>SSHerb1</vt:lpstr>
      <vt:lpstr>SSHerb2</vt:lpstr>
      <vt:lpstr>SSHerb3</vt:lpstr>
      <vt:lpstr>SSHerb4</vt:lpstr>
      <vt:lpstr>SSHerbTIme</vt:lpstr>
      <vt:lpstr>SSIrr</vt:lpstr>
      <vt:lpstr>SSMowTime</vt:lpstr>
      <vt:lpstr>SSMowTime1</vt:lpstr>
      <vt:lpstr>SSMowTime2</vt:lpstr>
      <vt:lpstr>SSMowTime3</vt:lpstr>
      <vt:lpstr>SSMowTime4</vt:lpstr>
      <vt:lpstr>SSProfit</vt:lpstr>
      <vt:lpstr>SSPrune1</vt:lpstr>
      <vt:lpstr>SSPrune2</vt:lpstr>
      <vt:lpstr>SSPrune3</vt:lpstr>
      <vt:lpstr>SSPrune4</vt:lpstr>
      <vt:lpstr>SSRow</vt:lpstr>
      <vt:lpstr>SSRowAcre</vt:lpstr>
      <vt:lpstr>SSRowSpace</vt:lpstr>
      <vt:lpstr>SSSprayMat1</vt:lpstr>
      <vt:lpstr>SSSprayMat2</vt:lpstr>
      <vt:lpstr>SSSprayMat3</vt:lpstr>
      <vt:lpstr>SSSprayMat4</vt:lpstr>
      <vt:lpstr>SSTime</vt:lpstr>
      <vt:lpstr>SSTrain1</vt:lpstr>
      <vt:lpstr>SSTrain2</vt:lpstr>
      <vt:lpstr>SSTrain3</vt:lpstr>
      <vt:lpstr>SSTrain4</vt:lpstr>
      <vt:lpstr>SSTrainMat1</vt:lpstr>
      <vt:lpstr>SSTrainMat2</vt:lpstr>
      <vt:lpstr>SSTrainMat3</vt:lpstr>
      <vt:lpstr>SSTrainMat4</vt:lpstr>
      <vt:lpstr>SSTree</vt:lpstr>
      <vt:lpstr>SSTrellis</vt:lpstr>
      <vt:lpstr>SSWild</vt:lpstr>
      <vt:lpstr>SSYear1</vt:lpstr>
      <vt:lpstr>SSYear3</vt:lpstr>
      <vt:lpstr>SSYear4</vt:lpstr>
      <vt:lpstr>StandHerb</vt:lpstr>
      <vt:lpstr>TotSpCost</vt:lpstr>
      <vt:lpstr>TotSprTrips</vt:lpstr>
      <vt:lpstr>TreeCost</vt:lpstr>
      <vt:lpstr>TSSprayTime1</vt:lpstr>
      <vt:lpstr>TSSPrayTime2</vt:lpstr>
      <vt:lpstr>TSSprayTIme3</vt:lpstr>
      <vt:lpstr>TSTRV</vt:lpstr>
      <vt:lpstr>TSYear2</vt:lpstr>
      <vt:lpstr>UreaTon</vt:lpstr>
      <vt:lpstr>VABait1</vt:lpstr>
      <vt:lpstr>VABait2</vt:lpstr>
      <vt:lpstr>VABait3</vt:lpstr>
      <vt:lpstr>VABait4</vt:lpstr>
      <vt:lpstr>VABait5</vt:lpstr>
      <vt:lpstr>VABait6</vt:lpstr>
      <vt:lpstr>VABaitTime1</vt:lpstr>
      <vt:lpstr>VABaitTime2</vt:lpstr>
      <vt:lpstr>VABaitTime3</vt:lpstr>
      <vt:lpstr>VABaitTime4</vt:lpstr>
      <vt:lpstr>VABaitTime5</vt:lpstr>
      <vt:lpstr>VABaitTIme6</vt:lpstr>
      <vt:lpstr>VAFert1</vt:lpstr>
      <vt:lpstr>VAFert2</vt:lpstr>
      <vt:lpstr>VAFert3</vt:lpstr>
      <vt:lpstr>VAFert4</vt:lpstr>
      <vt:lpstr>VAFert5</vt:lpstr>
      <vt:lpstr>VAFert6</vt:lpstr>
      <vt:lpstr>VAFertTime</vt:lpstr>
      <vt:lpstr>VAFertTime1</vt:lpstr>
      <vt:lpstr>VAFertTime2</vt:lpstr>
      <vt:lpstr>VAFertTime3</vt:lpstr>
      <vt:lpstr>VAFertTime4</vt:lpstr>
      <vt:lpstr>VAFertTime5</vt:lpstr>
      <vt:lpstr>VAFertTime6</vt:lpstr>
      <vt:lpstr>VAHerb1</vt:lpstr>
      <vt:lpstr>VAHerb2</vt:lpstr>
      <vt:lpstr>VAHerb3</vt:lpstr>
      <vt:lpstr>VAHerb4</vt:lpstr>
      <vt:lpstr>VAHerb5</vt:lpstr>
      <vt:lpstr>VAHerb6</vt:lpstr>
      <vt:lpstr>VAHerbTime</vt:lpstr>
      <vt:lpstr>VAIrr</vt:lpstr>
      <vt:lpstr>VAMowTime</vt:lpstr>
      <vt:lpstr>VAMowTIme1</vt:lpstr>
      <vt:lpstr>VAMowTime2</vt:lpstr>
      <vt:lpstr>VAMowTime3</vt:lpstr>
      <vt:lpstr>VAMowTime4</vt:lpstr>
      <vt:lpstr>VAMowTime5</vt:lpstr>
      <vt:lpstr>VAMowTime6</vt:lpstr>
      <vt:lpstr>VAProfit</vt:lpstr>
      <vt:lpstr>VAPrune1</vt:lpstr>
      <vt:lpstr>VAPrune2</vt:lpstr>
      <vt:lpstr>VAPrune3</vt:lpstr>
      <vt:lpstr>VAPrune4</vt:lpstr>
      <vt:lpstr>VAPrune5</vt:lpstr>
      <vt:lpstr>VAPrune6</vt:lpstr>
      <vt:lpstr>VARow</vt:lpstr>
      <vt:lpstr>VARowAcre</vt:lpstr>
      <vt:lpstr>VARowSpace</vt:lpstr>
      <vt:lpstr>VASprayMat1</vt:lpstr>
      <vt:lpstr>VASprayMat2</vt:lpstr>
      <vt:lpstr>VASprayMat3</vt:lpstr>
      <vt:lpstr>VASprayMat4</vt:lpstr>
      <vt:lpstr>VASprayMat5</vt:lpstr>
      <vt:lpstr>VASprayMat6</vt:lpstr>
      <vt:lpstr>VASprayTime1</vt:lpstr>
      <vt:lpstr>VASprayTime2</vt:lpstr>
      <vt:lpstr>VASprayTIme3</vt:lpstr>
      <vt:lpstr>VASprayTime4</vt:lpstr>
      <vt:lpstr>VATime</vt:lpstr>
      <vt:lpstr>VATrain1</vt:lpstr>
      <vt:lpstr>VATrain2</vt:lpstr>
      <vt:lpstr>VATrain3</vt:lpstr>
      <vt:lpstr>VATrain4</vt:lpstr>
      <vt:lpstr>VATrain5</vt:lpstr>
      <vt:lpstr>VATrain6</vt:lpstr>
      <vt:lpstr>VATrainMat1</vt:lpstr>
      <vt:lpstr>VATrainMat2</vt:lpstr>
      <vt:lpstr>VATrainMat3</vt:lpstr>
      <vt:lpstr>VATrainMat4</vt:lpstr>
      <vt:lpstr>VATrainMat5</vt:lpstr>
      <vt:lpstr>VATrainMat6</vt:lpstr>
      <vt:lpstr>VATree</vt:lpstr>
      <vt:lpstr>VATrellis</vt:lpstr>
      <vt:lpstr>VATRV</vt:lpstr>
      <vt:lpstr>VAWild</vt:lpstr>
      <vt:lpstr>VAYear1</vt:lpstr>
      <vt:lpstr>VAYear2</vt:lpstr>
      <vt:lpstr>VAYear3</vt:lpstr>
      <vt:lpstr>VAYear4</vt:lpstr>
      <vt:lpstr>VAYear5</vt:lpstr>
      <vt:lpstr>VAYear6</vt:lpstr>
      <vt:lpstr>WeekUse</vt:lpstr>
      <vt:lpstr>Wildlife</vt:lpstr>
      <vt:lpstr>Year0</vt:lpstr>
      <vt:lpstr>Year1</vt:lpstr>
      <vt:lpstr>Year2</vt:lpstr>
      <vt:lpstr>Year3</vt:lpstr>
      <vt:lpstr>Year4</vt:lpstr>
      <vt:lpstr>Year5</vt:lpstr>
      <vt:lpstr>Year6</vt:lpstr>
    </vt:vector>
  </TitlesOfParts>
  <Company>CHES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Schwallier</dc:creator>
  <cp:lastModifiedBy>jfischbach</cp:lastModifiedBy>
  <cp:lastPrinted>2010-04-26T13:52:33Z</cp:lastPrinted>
  <dcterms:created xsi:type="dcterms:W3CDTF">1997-06-03T00:31:37Z</dcterms:created>
  <dcterms:modified xsi:type="dcterms:W3CDTF">2011-01-20T22:31:55Z</dcterms:modified>
</cp:coreProperties>
</file>